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XCEL\Contabilidad\Contabilidad\BERANKORTASUNA\2023\OARSOALDEA\4go HIRUHILEKOA\"/>
    </mc:Choice>
  </mc:AlternateContent>
  <xr:revisionPtr revIDLastSave="0" documentId="13_ncr:1_{B868E4AE-7AB7-43E8-8795-9AEB5B201573}" xr6:coauthVersionLast="47" xr6:coauthVersionMax="47" xr10:uidLastSave="{00000000-0000-0000-0000-000000000000}"/>
  <bookViews>
    <workbookView xWindow="-120" yWindow="-120" windowWidth="29040" windowHeight="15720" tabRatio="566" xr2:uid="{00000000-000D-0000-FFFF-FFFF00000000}"/>
  </bookViews>
  <sheets>
    <sheet name="TXOSTENA" sheetId="5" r:id="rId1"/>
    <sheet name="xehet1" sheetId="2" r:id="rId2"/>
    <sheet name="xehet2" sheetId="3" r:id="rId3"/>
    <sheet name="xehet32" sheetId="4" r:id="rId4"/>
  </sheets>
  <definedNames>
    <definedName name="_xlnm.Print_Area" localSheetId="1">xehet1!$A$3:$S$5</definedName>
    <definedName name="_xlnm.Print_Area" localSheetId="2">xehet2!$A$1:$R$8</definedName>
    <definedName name="_xlnm.Print_Area" localSheetId="3">xehet32!$A$1:$P$1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1" i="3" l="1"/>
  <c r="Q71" i="3"/>
  <c r="P72" i="3"/>
  <c r="Q72" i="3"/>
  <c r="P73" i="3"/>
  <c r="Q73" i="3"/>
  <c r="P74" i="3"/>
  <c r="Q74" i="3"/>
  <c r="P56" i="3"/>
  <c r="Q56" i="3"/>
  <c r="P57" i="3"/>
  <c r="Q57" i="3"/>
  <c r="P58" i="3"/>
  <c r="Q58" i="3"/>
  <c r="P59" i="3"/>
  <c r="Q59" i="3"/>
  <c r="P60" i="3"/>
  <c r="Q60" i="3"/>
  <c r="P61" i="3"/>
  <c r="Q61" i="3"/>
  <c r="P62" i="3"/>
  <c r="Q62" i="3"/>
  <c r="P63" i="3"/>
  <c r="Q63" i="3"/>
  <c r="P64" i="3"/>
  <c r="Q64" i="3"/>
  <c r="P65" i="3"/>
  <c r="Q65" i="3"/>
  <c r="P66" i="3"/>
  <c r="Q66" i="3"/>
  <c r="P67" i="3"/>
  <c r="Q67" i="3"/>
  <c r="P68" i="3"/>
  <c r="Q68" i="3"/>
  <c r="P69" i="3"/>
  <c r="Q69" i="3"/>
  <c r="P70" i="3"/>
  <c r="Q70" i="3"/>
  <c r="P35" i="3"/>
  <c r="Q35" i="3"/>
  <c r="P36" i="3"/>
  <c r="Q36" i="3"/>
  <c r="P37" i="3"/>
  <c r="Q37" i="3"/>
  <c r="P38" i="3"/>
  <c r="Q38" i="3"/>
  <c r="P39" i="3"/>
  <c r="Q39" i="3"/>
  <c r="P40" i="3"/>
  <c r="Q40" i="3"/>
  <c r="P41" i="3"/>
  <c r="Q41" i="3"/>
  <c r="P42" i="3"/>
  <c r="Q42" i="3"/>
  <c r="P43" i="3"/>
  <c r="Q43" i="3"/>
  <c r="P44" i="3"/>
  <c r="Q44" i="3"/>
  <c r="P45" i="3"/>
  <c r="Q45" i="3"/>
  <c r="P46" i="3"/>
  <c r="Q46" i="3"/>
  <c r="P47" i="3"/>
  <c r="Q47" i="3"/>
  <c r="P48" i="3"/>
  <c r="Q48" i="3"/>
  <c r="P49" i="3"/>
  <c r="Q49" i="3"/>
  <c r="P50" i="3"/>
  <c r="Q50" i="3"/>
  <c r="P51" i="3"/>
  <c r="Q51" i="3"/>
  <c r="P52" i="3"/>
  <c r="Q52" i="3"/>
  <c r="P53" i="3"/>
  <c r="Q53" i="3"/>
  <c r="P54" i="3"/>
  <c r="Q54" i="3"/>
  <c r="P55" i="3"/>
  <c r="Q55" i="3"/>
  <c r="Q31" i="3"/>
  <c r="Q32" i="3"/>
  <c r="Q33" i="3"/>
  <c r="Q34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9" i="3"/>
  <c r="F55" i="5" l="1"/>
  <c r="F53" i="5"/>
  <c r="F51" i="5"/>
  <c r="F50" i="5"/>
  <c r="F49" i="5"/>
  <c r="F84" i="3"/>
  <c r="D75" i="3"/>
  <c r="D83" i="3"/>
  <c r="G55" i="5" s="1"/>
  <c r="D82" i="3"/>
  <c r="G53" i="5" s="1"/>
  <c r="D81" i="3"/>
  <c r="G51" i="5" s="1"/>
  <c r="D80" i="3"/>
  <c r="G50" i="5" s="1"/>
  <c r="D79" i="3"/>
  <c r="G49" i="5" s="1"/>
  <c r="F33" i="5"/>
  <c r="D84" i="3" l="1"/>
  <c r="G23" i="5"/>
  <c r="G21" i="5"/>
  <c r="G19" i="5"/>
  <c r="G18" i="5"/>
  <c r="G17" i="5"/>
  <c r="F23" i="5"/>
  <c r="F21" i="5"/>
  <c r="F19" i="5"/>
  <c r="F18" i="5"/>
  <c r="F17" i="5"/>
  <c r="F285" i="2"/>
  <c r="D285" i="2"/>
  <c r="D275" i="2"/>
  <c r="D284" i="2"/>
  <c r="D283" i="2"/>
  <c r="D282" i="2"/>
  <c r="D281" i="2"/>
  <c r="D280" i="2"/>
  <c r="P7" i="2"/>
  <c r="Q7" i="2"/>
  <c r="R7" i="2"/>
  <c r="S7" i="2" s="1"/>
  <c r="P8" i="2"/>
  <c r="Q8" i="2"/>
  <c r="R8" i="2"/>
  <c r="S8" i="2" s="1"/>
  <c r="P9" i="2"/>
  <c r="Q9" i="2"/>
  <c r="R9" i="2"/>
  <c r="S9" i="2" s="1"/>
  <c r="P10" i="2"/>
  <c r="Q10" i="2"/>
  <c r="R10" i="2"/>
  <c r="S10" i="2" s="1"/>
  <c r="P11" i="2"/>
  <c r="Q11" i="2"/>
  <c r="R11" i="2"/>
  <c r="S11" i="2" s="1"/>
  <c r="P12" i="2"/>
  <c r="Q12" i="2"/>
  <c r="R12" i="2"/>
  <c r="S12" i="2" s="1"/>
  <c r="P13" i="2"/>
  <c r="Q13" i="2"/>
  <c r="R13" i="2"/>
  <c r="S13" i="2" s="1"/>
  <c r="P14" i="2"/>
  <c r="Q14" i="2"/>
  <c r="R14" i="2"/>
  <c r="S14" i="2" s="1"/>
  <c r="P15" i="2"/>
  <c r="Q15" i="2"/>
  <c r="R15" i="2"/>
  <c r="S15" i="2" s="1"/>
  <c r="P16" i="2"/>
  <c r="Q16" i="2"/>
  <c r="R16" i="2"/>
  <c r="S16" i="2" s="1"/>
  <c r="P17" i="2"/>
  <c r="Q17" i="2"/>
  <c r="R17" i="2"/>
  <c r="S17" i="2" s="1"/>
  <c r="P18" i="2"/>
  <c r="Q18" i="2"/>
  <c r="R18" i="2"/>
  <c r="S18" i="2" s="1"/>
  <c r="P19" i="2"/>
  <c r="Q19" i="2"/>
  <c r="R19" i="2"/>
  <c r="S19" i="2" s="1"/>
  <c r="P20" i="2"/>
  <c r="Q20" i="2"/>
  <c r="R20" i="2"/>
  <c r="S20" i="2" s="1"/>
  <c r="P21" i="2"/>
  <c r="Q21" i="2"/>
  <c r="R21" i="2"/>
  <c r="S21" i="2" s="1"/>
  <c r="P22" i="2"/>
  <c r="Q22" i="2"/>
  <c r="R22" i="2"/>
  <c r="S22" i="2" s="1"/>
  <c r="P23" i="2"/>
  <c r="Q23" i="2"/>
  <c r="R23" i="2"/>
  <c r="S23" i="2" s="1"/>
  <c r="P24" i="2"/>
  <c r="Q24" i="2"/>
  <c r="R24" i="2"/>
  <c r="S24" i="2" s="1"/>
  <c r="P25" i="2"/>
  <c r="Q25" i="2"/>
  <c r="R25" i="2"/>
  <c r="S25" i="2" s="1"/>
  <c r="P26" i="2"/>
  <c r="Q26" i="2"/>
  <c r="R26" i="2"/>
  <c r="S26" i="2" s="1"/>
  <c r="P27" i="2"/>
  <c r="Q27" i="2"/>
  <c r="R27" i="2"/>
  <c r="S27" i="2" s="1"/>
  <c r="P28" i="2"/>
  <c r="Q28" i="2"/>
  <c r="R28" i="2"/>
  <c r="S28" i="2" s="1"/>
  <c r="P29" i="2"/>
  <c r="Q29" i="2"/>
  <c r="R29" i="2"/>
  <c r="S29" i="2" s="1"/>
  <c r="P30" i="2"/>
  <c r="Q30" i="2"/>
  <c r="R30" i="2"/>
  <c r="S30" i="2" s="1"/>
  <c r="P31" i="2"/>
  <c r="Q31" i="2"/>
  <c r="R31" i="2"/>
  <c r="S31" i="2" s="1"/>
  <c r="P32" i="2"/>
  <c r="Q32" i="2"/>
  <c r="R32" i="2"/>
  <c r="S32" i="2" s="1"/>
  <c r="P33" i="2"/>
  <c r="Q33" i="2"/>
  <c r="R33" i="2"/>
  <c r="S33" i="2" s="1"/>
  <c r="P34" i="2"/>
  <c r="Q34" i="2"/>
  <c r="R34" i="2"/>
  <c r="S34" i="2" s="1"/>
  <c r="P35" i="2"/>
  <c r="Q35" i="2"/>
  <c r="R35" i="2"/>
  <c r="S35" i="2" s="1"/>
  <c r="P36" i="2"/>
  <c r="Q36" i="2"/>
  <c r="R36" i="2"/>
  <c r="S36" i="2" s="1"/>
  <c r="P37" i="2"/>
  <c r="Q37" i="2"/>
  <c r="R37" i="2"/>
  <c r="S37" i="2" s="1"/>
  <c r="P38" i="2"/>
  <c r="Q38" i="2"/>
  <c r="R38" i="2"/>
  <c r="S38" i="2" s="1"/>
  <c r="P39" i="2"/>
  <c r="Q39" i="2"/>
  <c r="R39" i="2"/>
  <c r="S39" i="2" s="1"/>
  <c r="P40" i="2"/>
  <c r="Q40" i="2"/>
  <c r="R40" i="2"/>
  <c r="S40" i="2" s="1"/>
  <c r="P41" i="2"/>
  <c r="Q41" i="2"/>
  <c r="R41" i="2"/>
  <c r="S41" i="2" s="1"/>
  <c r="P42" i="2"/>
  <c r="Q42" i="2"/>
  <c r="R42" i="2"/>
  <c r="S42" i="2" s="1"/>
  <c r="P43" i="2"/>
  <c r="Q43" i="2"/>
  <c r="R43" i="2"/>
  <c r="S43" i="2" s="1"/>
  <c r="P44" i="2"/>
  <c r="Q44" i="2"/>
  <c r="R44" i="2"/>
  <c r="S44" i="2" s="1"/>
  <c r="P45" i="2"/>
  <c r="Q45" i="2"/>
  <c r="R45" i="2"/>
  <c r="S45" i="2" s="1"/>
  <c r="P46" i="2"/>
  <c r="Q46" i="2"/>
  <c r="R46" i="2"/>
  <c r="S46" i="2" s="1"/>
  <c r="P47" i="2"/>
  <c r="Q47" i="2"/>
  <c r="R47" i="2"/>
  <c r="S47" i="2" s="1"/>
  <c r="P48" i="2"/>
  <c r="Q48" i="2"/>
  <c r="R48" i="2"/>
  <c r="S48" i="2" s="1"/>
  <c r="P49" i="2"/>
  <c r="Q49" i="2"/>
  <c r="R49" i="2"/>
  <c r="S49" i="2" s="1"/>
  <c r="P50" i="2"/>
  <c r="Q50" i="2"/>
  <c r="R50" i="2"/>
  <c r="S50" i="2" s="1"/>
  <c r="P51" i="2"/>
  <c r="Q51" i="2"/>
  <c r="R51" i="2"/>
  <c r="S51" i="2" s="1"/>
  <c r="P52" i="2"/>
  <c r="Q52" i="2"/>
  <c r="R52" i="2"/>
  <c r="S52" i="2" s="1"/>
  <c r="P53" i="2"/>
  <c r="Q53" i="2"/>
  <c r="R53" i="2"/>
  <c r="S53" i="2" s="1"/>
  <c r="P54" i="2"/>
  <c r="Q54" i="2"/>
  <c r="R54" i="2"/>
  <c r="S54" i="2" s="1"/>
  <c r="P55" i="2"/>
  <c r="Q55" i="2"/>
  <c r="R55" i="2"/>
  <c r="S55" i="2" s="1"/>
  <c r="P56" i="2"/>
  <c r="Q56" i="2"/>
  <c r="R56" i="2"/>
  <c r="S56" i="2" s="1"/>
  <c r="P57" i="2"/>
  <c r="Q57" i="2"/>
  <c r="R57" i="2"/>
  <c r="S57" i="2" s="1"/>
  <c r="P58" i="2"/>
  <c r="Q58" i="2"/>
  <c r="R58" i="2"/>
  <c r="S58" i="2" s="1"/>
  <c r="P59" i="2"/>
  <c r="Q59" i="2"/>
  <c r="R59" i="2"/>
  <c r="S59" i="2" s="1"/>
  <c r="P60" i="2"/>
  <c r="Q60" i="2"/>
  <c r="R60" i="2"/>
  <c r="S60" i="2" s="1"/>
  <c r="P61" i="2"/>
  <c r="Q61" i="2"/>
  <c r="R61" i="2"/>
  <c r="S61" i="2" s="1"/>
  <c r="P62" i="2"/>
  <c r="Q62" i="2"/>
  <c r="R62" i="2"/>
  <c r="S62" i="2" s="1"/>
  <c r="P63" i="2"/>
  <c r="Q63" i="2"/>
  <c r="R63" i="2"/>
  <c r="S63" i="2" s="1"/>
  <c r="P64" i="2"/>
  <c r="Q64" i="2"/>
  <c r="R64" i="2"/>
  <c r="S64" i="2" s="1"/>
  <c r="P65" i="2"/>
  <c r="Q65" i="2"/>
  <c r="R65" i="2"/>
  <c r="S65" i="2" s="1"/>
  <c r="P66" i="2"/>
  <c r="Q66" i="2"/>
  <c r="R66" i="2"/>
  <c r="S66" i="2" s="1"/>
  <c r="P67" i="2"/>
  <c r="Q67" i="2"/>
  <c r="R67" i="2"/>
  <c r="S67" i="2" s="1"/>
  <c r="P68" i="2"/>
  <c r="Q68" i="2"/>
  <c r="R68" i="2"/>
  <c r="S68" i="2" s="1"/>
  <c r="P69" i="2"/>
  <c r="Q69" i="2"/>
  <c r="R69" i="2"/>
  <c r="S69" i="2" s="1"/>
  <c r="P70" i="2"/>
  <c r="Q70" i="2"/>
  <c r="R70" i="2"/>
  <c r="S70" i="2" s="1"/>
  <c r="P71" i="2"/>
  <c r="Q71" i="2"/>
  <c r="R71" i="2"/>
  <c r="S71" i="2" s="1"/>
  <c r="P72" i="2"/>
  <c r="Q72" i="2"/>
  <c r="R72" i="2"/>
  <c r="S72" i="2" s="1"/>
  <c r="P73" i="2"/>
  <c r="Q73" i="2"/>
  <c r="R73" i="2"/>
  <c r="S73" i="2" s="1"/>
  <c r="P74" i="2"/>
  <c r="Q74" i="2"/>
  <c r="R74" i="2"/>
  <c r="S74" i="2" s="1"/>
  <c r="P75" i="2"/>
  <c r="Q75" i="2"/>
  <c r="R75" i="2"/>
  <c r="S75" i="2" s="1"/>
  <c r="P76" i="2"/>
  <c r="Q76" i="2"/>
  <c r="R76" i="2"/>
  <c r="S76" i="2" s="1"/>
  <c r="P77" i="2"/>
  <c r="Q77" i="2"/>
  <c r="R77" i="2"/>
  <c r="S77" i="2" s="1"/>
  <c r="P78" i="2"/>
  <c r="Q78" i="2"/>
  <c r="R78" i="2"/>
  <c r="S78" i="2" s="1"/>
  <c r="P79" i="2"/>
  <c r="Q79" i="2"/>
  <c r="R79" i="2"/>
  <c r="S79" i="2" s="1"/>
  <c r="P80" i="2"/>
  <c r="Q80" i="2"/>
  <c r="R80" i="2"/>
  <c r="S80" i="2" s="1"/>
  <c r="P81" i="2"/>
  <c r="Q81" i="2"/>
  <c r="R81" i="2"/>
  <c r="S81" i="2" s="1"/>
  <c r="P82" i="2"/>
  <c r="Q82" i="2"/>
  <c r="R82" i="2"/>
  <c r="S82" i="2" s="1"/>
  <c r="P83" i="2"/>
  <c r="Q83" i="2"/>
  <c r="R83" i="2"/>
  <c r="S83" i="2" s="1"/>
  <c r="P84" i="2"/>
  <c r="Q84" i="2"/>
  <c r="R84" i="2"/>
  <c r="S84" i="2" s="1"/>
  <c r="P85" i="2"/>
  <c r="Q85" i="2"/>
  <c r="R85" i="2"/>
  <c r="S85" i="2" s="1"/>
  <c r="P86" i="2"/>
  <c r="Q86" i="2"/>
  <c r="R86" i="2"/>
  <c r="S86" i="2" s="1"/>
  <c r="P87" i="2"/>
  <c r="Q87" i="2"/>
  <c r="R87" i="2"/>
  <c r="S87" i="2" s="1"/>
  <c r="P88" i="2"/>
  <c r="Q88" i="2"/>
  <c r="R88" i="2"/>
  <c r="S88" i="2" s="1"/>
  <c r="P89" i="2"/>
  <c r="Q89" i="2"/>
  <c r="R89" i="2"/>
  <c r="S89" i="2" s="1"/>
  <c r="P90" i="2"/>
  <c r="Q90" i="2"/>
  <c r="R90" i="2"/>
  <c r="S90" i="2" s="1"/>
  <c r="P91" i="2"/>
  <c r="Q91" i="2"/>
  <c r="R91" i="2"/>
  <c r="S91" i="2" s="1"/>
  <c r="P92" i="2"/>
  <c r="Q92" i="2"/>
  <c r="R92" i="2"/>
  <c r="S92" i="2" s="1"/>
  <c r="P93" i="2"/>
  <c r="Q93" i="2"/>
  <c r="R93" i="2"/>
  <c r="S93" i="2" s="1"/>
  <c r="P94" i="2"/>
  <c r="Q94" i="2"/>
  <c r="R94" i="2"/>
  <c r="S94" i="2" s="1"/>
  <c r="P95" i="2"/>
  <c r="Q95" i="2"/>
  <c r="R95" i="2"/>
  <c r="S95" i="2" s="1"/>
  <c r="P96" i="2"/>
  <c r="Q96" i="2"/>
  <c r="R96" i="2"/>
  <c r="S96" i="2" s="1"/>
  <c r="P97" i="2"/>
  <c r="Q97" i="2"/>
  <c r="R97" i="2"/>
  <c r="S97" i="2" s="1"/>
  <c r="P98" i="2"/>
  <c r="Q98" i="2"/>
  <c r="R98" i="2"/>
  <c r="S98" i="2" s="1"/>
  <c r="P99" i="2"/>
  <c r="Q99" i="2"/>
  <c r="R99" i="2"/>
  <c r="S99" i="2" s="1"/>
  <c r="P100" i="2"/>
  <c r="Q100" i="2"/>
  <c r="R100" i="2"/>
  <c r="S100" i="2" s="1"/>
  <c r="P101" i="2"/>
  <c r="Q101" i="2"/>
  <c r="R101" i="2"/>
  <c r="S101" i="2" s="1"/>
  <c r="P102" i="2"/>
  <c r="Q102" i="2"/>
  <c r="R102" i="2"/>
  <c r="S102" i="2" s="1"/>
  <c r="P103" i="2"/>
  <c r="Q103" i="2"/>
  <c r="R103" i="2"/>
  <c r="S103" i="2" s="1"/>
  <c r="P104" i="2"/>
  <c r="Q104" i="2"/>
  <c r="R104" i="2"/>
  <c r="S104" i="2" s="1"/>
  <c r="P105" i="2"/>
  <c r="Q105" i="2"/>
  <c r="R105" i="2"/>
  <c r="S105" i="2" s="1"/>
  <c r="P106" i="2"/>
  <c r="Q106" i="2"/>
  <c r="R106" i="2"/>
  <c r="S106" i="2" s="1"/>
  <c r="P107" i="2"/>
  <c r="Q107" i="2"/>
  <c r="R107" i="2"/>
  <c r="S107" i="2" s="1"/>
  <c r="P108" i="2"/>
  <c r="Q108" i="2"/>
  <c r="R108" i="2"/>
  <c r="S108" i="2" s="1"/>
  <c r="P109" i="2"/>
  <c r="Q109" i="2"/>
  <c r="R109" i="2"/>
  <c r="S109" i="2" s="1"/>
  <c r="P110" i="2"/>
  <c r="Q110" i="2"/>
  <c r="R110" i="2"/>
  <c r="S110" i="2" s="1"/>
  <c r="P111" i="2"/>
  <c r="Q111" i="2"/>
  <c r="R111" i="2"/>
  <c r="S111" i="2" s="1"/>
  <c r="P112" i="2"/>
  <c r="Q112" i="2"/>
  <c r="R112" i="2"/>
  <c r="S112" i="2" s="1"/>
  <c r="P113" i="2"/>
  <c r="Q113" i="2"/>
  <c r="R113" i="2"/>
  <c r="S113" i="2" s="1"/>
  <c r="P114" i="2"/>
  <c r="Q114" i="2"/>
  <c r="R114" i="2"/>
  <c r="S114" i="2" s="1"/>
  <c r="P115" i="2"/>
  <c r="Q115" i="2"/>
  <c r="R115" i="2"/>
  <c r="S115" i="2" s="1"/>
  <c r="P116" i="2"/>
  <c r="Q116" i="2"/>
  <c r="R116" i="2"/>
  <c r="S116" i="2" s="1"/>
  <c r="P117" i="2"/>
  <c r="Q117" i="2"/>
  <c r="R117" i="2"/>
  <c r="S117" i="2" s="1"/>
  <c r="P118" i="2"/>
  <c r="Q118" i="2"/>
  <c r="R118" i="2"/>
  <c r="S118" i="2" s="1"/>
  <c r="P119" i="2"/>
  <c r="Q119" i="2"/>
  <c r="R119" i="2"/>
  <c r="S119" i="2" s="1"/>
  <c r="P120" i="2"/>
  <c r="Q120" i="2"/>
  <c r="R120" i="2"/>
  <c r="S120" i="2" s="1"/>
  <c r="P121" i="2"/>
  <c r="Q121" i="2"/>
  <c r="R121" i="2"/>
  <c r="S121" i="2" s="1"/>
  <c r="P122" i="2"/>
  <c r="Q122" i="2"/>
  <c r="R122" i="2"/>
  <c r="S122" i="2" s="1"/>
  <c r="P123" i="2"/>
  <c r="Q123" i="2"/>
  <c r="R123" i="2"/>
  <c r="S123" i="2" s="1"/>
  <c r="P124" i="2"/>
  <c r="Q124" i="2"/>
  <c r="R124" i="2"/>
  <c r="S124" i="2" s="1"/>
  <c r="P125" i="2"/>
  <c r="Q125" i="2"/>
  <c r="R125" i="2"/>
  <c r="S125" i="2" s="1"/>
  <c r="P126" i="2"/>
  <c r="Q126" i="2"/>
  <c r="R126" i="2"/>
  <c r="S126" i="2" s="1"/>
  <c r="P127" i="2"/>
  <c r="Q127" i="2"/>
  <c r="R127" i="2"/>
  <c r="S127" i="2" s="1"/>
  <c r="P128" i="2"/>
  <c r="Q128" i="2"/>
  <c r="R128" i="2"/>
  <c r="S128" i="2" s="1"/>
  <c r="P129" i="2"/>
  <c r="Q129" i="2"/>
  <c r="R129" i="2"/>
  <c r="S129" i="2" s="1"/>
  <c r="P130" i="2"/>
  <c r="Q130" i="2"/>
  <c r="R130" i="2"/>
  <c r="S130" i="2" s="1"/>
  <c r="P131" i="2"/>
  <c r="Q131" i="2"/>
  <c r="R131" i="2"/>
  <c r="S131" i="2" s="1"/>
  <c r="P132" i="2"/>
  <c r="Q132" i="2"/>
  <c r="R132" i="2"/>
  <c r="S132" i="2" s="1"/>
  <c r="P133" i="2"/>
  <c r="Q133" i="2"/>
  <c r="R133" i="2"/>
  <c r="S133" i="2" s="1"/>
  <c r="P134" i="2"/>
  <c r="Q134" i="2"/>
  <c r="R134" i="2"/>
  <c r="S134" i="2" s="1"/>
  <c r="P135" i="2"/>
  <c r="Q135" i="2"/>
  <c r="R135" i="2"/>
  <c r="S135" i="2" s="1"/>
  <c r="P136" i="2"/>
  <c r="Q136" i="2"/>
  <c r="R136" i="2"/>
  <c r="S136" i="2" s="1"/>
  <c r="P137" i="2"/>
  <c r="Q137" i="2"/>
  <c r="R137" i="2"/>
  <c r="S137" i="2" s="1"/>
  <c r="P138" i="2"/>
  <c r="Q138" i="2"/>
  <c r="R138" i="2"/>
  <c r="S138" i="2" s="1"/>
  <c r="P139" i="2"/>
  <c r="Q139" i="2"/>
  <c r="R139" i="2"/>
  <c r="S139" i="2" s="1"/>
  <c r="P140" i="2"/>
  <c r="Q140" i="2"/>
  <c r="R140" i="2"/>
  <c r="S140" i="2" s="1"/>
  <c r="P141" i="2"/>
  <c r="Q141" i="2"/>
  <c r="R141" i="2"/>
  <c r="S141" i="2" s="1"/>
  <c r="P142" i="2"/>
  <c r="Q142" i="2"/>
  <c r="R142" i="2"/>
  <c r="S142" i="2" s="1"/>
  <c r="P143" i="2"/>
  <c r="Q143" i="2"/>
  <c r="R143" i="2"/>
  <c r="S143" i="2" s="1"/>
  <c r="P144" i="2"/>
  <c r="Q144" i="2"/>
  <c r="R144" i="2"/>
  <c r="S144" i="2" s="1"/>
  <c r="P145" i="2"/>
  <c r="Q145" i="2"/>
  <c r="R145" i="2"/>
  <c r="S145" i="2" s="1"/>
  <c r="P146" i="2"/>
  <c r="Q146" i="2"/>
  <c r="R146" i="2"/>
  <c r="S146" i="2" s="1"/>
  <c r="P147" i="2"/>
  <c r="Q147" i="2"/>
  <c r="R147" i="2"/>
  <c r="S147" i="2" s="1"/>
  <c r="P148" i="2"/>
  <c r="Q148" i="2"/>
  <c r="R148" i="2"/>
  <c r="S148" i="2" s="1"/>
  <c r="P149" i="2"/>
  <c r="Q149" i="2"/>
  <c r="R149" i="2"/>
  <c r="S149" i="2" s="1"/>
  <c r="P150" i="2"/>
  <c r="Q150" i="2"/>
  <c r="R150" i="2"/>
  <c r="S150" i="2" s="1"/>
  <c r="P151" i="2"/>
  <c r="Q151" i="2"/>
  <c r="R151" i="2"/>
  <c r="S151" i="2" s="1"/>
  <c r="P152" i="2"/>
  <c r="Q152" i="2"/>
  <c r="R152" i="2"/>
  <c r="S152" i="2" s="1"/>
  <c r="P153" i="2"/>
  <c r="Q153" i="2"/>
  <c r="R153" i="2"/>
  <c r="S153" i="2" s="1"/>
  <c r="P154" i="2"/>
  <c r="Q154" i="2"/>
  <c r="R154" i="2"/>
  <c r="S154" i="2" s="1"/>
  <c r="P155" i="2"/>
  <c r="Q155" i="2"/>
  <c r="R155" i="2"/>
  <c r="S155" i="2" s="1"/>
  <c r="P156" i="2"/>
  <c r="Q156" i="2"/>
  <c r="R156" i="2"/>
  <c r="S156" i="2" s="1"/>
  <c r="P157" i="2"/>
  <c r="Q157" i="2"/>
  <c r="R157" i="2"/>
  <c r="S157" i="2" s="1"/>
  <c r="P158" i="2"/>
  <c r="Q158" i="2"/>
  <c r="R158" i="2"/>
  <c r="S158" i="2" s="1"/>
  <c r="P159" i="2"/>
  <c r="Q159" i="2"/>
  <c r="R159" i="2"/>
  <c r="S159" i="2" s="1"/>
  <c r="P160" i="2"/>
  <c r="Q160" i="2"/>
  <c r="R160" i="2"/>
  <c r="S160" i="2" s="1"/>
  <c r="P161" i="2"/>
  <c r="Q161" i="2"/>
  <c r="R161" i="2"/>
  <c r="S161" i="2" s="1"/>
  <c r="P162" i="2"/>
  <c r="Q162" i="2"/>
  <c r="R162" i="2"/>
  <c r="S162" i="2" s="1"/>
  <c r="P163" i="2"/>
  <c r="Q163" i="2"/>
  <c r="R163" i="2"/>
  <c r="S163" i="2" s="1"/>
  <c r="P164" i="2"/>
  <c r="Q164" i="2"/>
  <c r="R164" i="2"/>
  <c r="S164" i="2" s="1"/>
  <c r="P165" i="2"/>
  <c r="Q165" i="2"/>
  <c r="R165" i="2"/>
  <c r="S165" i="2" s="1"/>
  <c r="P166" i="2"/>
  <c r="Q166" i="2"/>
  <c r="R166" i="2"/>
  <c r="S166" i="2" s="1"/>
  <c r="P167" i="2"/>
  <c r="Q167" i="2"/>
  <c r="R167" i="2"/>
  <c r="S167" i="2" s="1"/>
  <c r="P168" i="2"/>
  <c r="Q168" i="2"/>
  <c r="R168" i="2"/>
  <c r="S168" i="2" s="1"/>
  <c r="P169" i="2"/>
  <c r="Q169" i="2"/>
  <c r="R169" i="2"/>
  <c r="S169" i="2" s="1"/>
  <c r="P170" i="2"/>
  <c r="Q170" i="2"/>
  <c r="R170" i="2"/>
  <c r="S170" i="2" s="1"/>
  <c r="P171" i="2"/>
  <c r="Q171" i="2"/>
  <c r="R171" i="2"/>
  <c r="S171" i="2" s="1"/>
  <c r="P172" i="2"/>
  <c r="Q172" i="2"/>
  <c r="R172" i="2"/>
  <c r="S172" i="2" s="1"/>
  <c r="P173" i="2"/>
  <c r="Q173" i="2"/>
  <c r="R173" i="2"/>
  <c r="S173" i="2" s="1"/>
  <c r="P174" i="2"/>
  <c r="Q174" i="2"/>
  <c r="R174" i="2"/>
  <c r="S174" i="2" s="1"/>
  <c r="P175" i="2"/>
  <c r="Q175" i="2"/>
  <c r="R175" i="2"/>
  <c r="S175" i="2" s="1"/>
  <c r="P176" i="2"/>
  <c r="Q176" i="2"/>
  <c r="R176" i="2"/>
  <c r="S176" i="2" s="1"/>
  <c r="P177" i="2"/>
  <c r="Q177" i="2"/>
  <c r="R177" i="2"/>
  <c r="S177" i="2" s="1"/>
  <c r="P178" i="2"/>
  <c r="Q178" i="2"/>
  <c r="R178" i="2"/>
  <c r="S178" i="2" s="1"/>
  <c r="P179" i="2"/>
  <c r="Q179" i="2"/>
  <c r="R179" i="2"/>
  <c r="S179" i="2" s="1"/>
  <c r="P180" i="2"/>
  <c r="Q180" i="2"/>
  <c r="R180" i="2"/>
  <c r="S180" i="2" s="1"/>
  <c r="P181" i="2"/>
  <c r="Q181" i="2"/>
  <c r="R181" i="2"/>
  <c r="S181" i="2" s="1"/>
  <c r="P182" i="2"/>
  <c r="Q182" i="2"/>
  <c r="R182" i="2"/>
  <c r="S182" i="2" s="1"/>
  <c r="P183" i="2"/>
  <c r="Q183" i="2"/>
  <c r="R183" i="2"/>
  <c r="S183" i="2" s="1"/>
  <c r="P184" i="2"/>
  <c r="Q184" i="2"/>
  <c r="R184" i="2"/>
  <c r="S184" i="2" s="1"/>
  <c r="P185" i="2"/>
  <c r="Q185" i="2"/>
  <c r="R185" i="2"/>
  <c r="S185" i="2" s="1"/>
  <c r="P186" i="2"/>
  <c r="Q186" i="2"/>
  <c r="R186" i="2"/>
  <c r="S186" i="2" s="1"/>
  <c r="P187" i="2"/>
  <c r="Q187" i="2"/>
  <c r="R187" i="2"/>
  <c r="S187" i="2" s="1"/>
  <c r="P188" i="2"/>
  <c r="Q188" i="2"/>
  <c r="R188" i="2"/>
  <c r="S188" i="2" s="1"/>
  <c r="P189" i="2"/>
  <c r="Q189" i="2"/>
  <c r="R189" i="2"/>
  <c r="S189" i="2" s="1"/>
  <c r="P190" i="2"/>
  <c r="Q190" i="2"/>
  <c r="R190" i="2"/>
  <c r="S190" i="2" s="1"/>
  <c r="P191" i="2"/>
  <c r="Q191" i="2"/>
  <c r="R191" i="2"/>
  <c r="S191" i="2" s="1"/>
  <c r="P192" i="2"/>
  <c r="Q192" i="2"/>
  <c r="R192" i="2"/>
  <c r="S192" i="2" s="1"/>
  <c r="P193" i="2"/>
  <c r="Q193" i="2"/>
  <c r="R193" i="2"/>
  <c r="S193" i="2" s="1"/>
  <c r="P194" i="2"/>
  <c r="Q194" i="2"/>
  <c r="R194" i="2"/>
  <c r="S194" i="2" s="1"/>
  <c r="P195" i="2"/>
  <c r="Q195" i="2"/>
  <c r="R195" i="2"/>
  <c r="S195" i="2" s="1"/>
  <c r="P196" i="2"/>
  <c r="Q196" i="2"/>
  <c r="R196" i="2"/>
  <c r="S196" i="2" s="1"/>
  <c r="P197" i="2"/>
  <c r="Q197" i="2"/>
  <c r="R197" i="2"/>
  <c r="S197" i="2" s="1"/>
  <c r="P198" i="2"/>
  <c r="Q198" i="2"/>
  <c r="R198" i="2"/>
  <c r="S198" i="2" s="1"/>
  <c r="P199" i="2"/>
  <c r="Q199" i="2"/>
  <c r="R199" i="2"/>
  <c r="S199" i="2" s="1"/>
  <c r="P200" i="2"/>
  <c r="Q200" i="2"/>
  <c r="R200" i="2"/>
  <c r="S200" i="2" s="1"/>
  <c r="P201" i="2"/>
  <c r="Q201" i="2"/>
  <c r="R201" i="2"/>
  <c r="S201" i="2" s="1"/>
  <c r="P202" i="2"/>
  <c r="Q202" i="2"/>
  <c r="R202" i="2"/>
  <c r="S202" i="2" s="1"/>
  <c r="P203" i="2"/>
  <c r="Q203" i="2"/>
  <c r="R203" i="2"/>
  <c r="S203" i="2" s="1"/>
  <c r="P204" i="2"/>
  <c r="Q204" i="2"/>
  <c r="R204" i="2"/>
  <c r="S204" i="2" s="1"/>
  <c r="P205" i="2"/>
  <c r="Q205" i="2"/>
  <c r="R205" i="2"/>
  <c r="S205" i="2" s="1"/>
  <c r="P206" i="2"/>
  <c r="Q206" i="2"/>
  <c r="R206" i="2"/>
  <c r="S206" i="2" s="1"/>
  <c r="P207" i="2"/>
  <c r="Q207" i="2"/>
  <c r="R207" i="2"/>
  <c r="S207" i="2" s="1"/>
  <c r="P208" i="2"/>
  <c r="Q208" i="2"/>
  <c r="R208" i="2"/>
  <c r="S208" i="2" s="1"/>
  <c r="P209" i="2"/>
  <c r="Q209" i="2"/>
  <c r="R209" i="2"/>
  <c r="S209" i="2" s="1"/>
  <c r="P210" i="2"/>
  <c r="Q210" i="2"/>
  <c r="R210" i="2"/>
  <c r="S210" i="2" s="1"/>
  <c r="P211" i="2"/>
  <c r="Q211" i="2"/>
  <c r="R211" i="2"/>
  <c r="S211" i="2" s="1"/>
  <c r="P212" i="2"/>
  <c r="Q212" i="2"/>
  <c r="R212" i="2"/>
  <c r="S212" i="2" s="1"/>
  <c r="P213" i="2"/>
  <c r="Q213" i="2"/>
  <c r="R213" i="2"/>
  <c r="S213" i="2" s="1"/>
  <c r="P214" i="2"/>
  <c r="Q214" i="2"/>
  <c r="R214" i="2"/>
  <c r="S214" i="2" s="1"/>
  <c r="P215" i="2"/>
  <c r="Q215" i="2"/>
  <c r="R215" i="2"/>
  <c r="S215" i="2" s="1"/>
  <c r="P216" i="2"/>
  <c r="Q216" i="2"/>
  <c r="R216" i="2"/>
  <c r="S216" i="2" s="1"/>
  <c r="P217" i="2"/>
  <c r="Q217" i="2"/>
  <c r="R217" i="2"/>
  <c r="S217" i="2" s="1"/>
  <c r="P218" i="2"/>
  <c r="Q218" i="2"/>
  <c r="R218" i="2"/>
  <c r="S218" i="2" s="1"/>
  <c r="P219" i="2"/>
  <c r="Q219" i="2"/>
  <c r="R219" i="2"/>
  <c r="S219" i="2" s="1"/>
  <c r="P220" i="2"/>
  <c r="Q220" i="2"/>
  <c r="R220" i="2"/>
  <c r="S220" i="2" s="1"/>
  <c r="P221" i="2"/>
  <c r="Q221" i="2"/>
  <c r="R221" i="2"/>
  <c r="S221" i="2" s="1"/>
  <c r="P222" i="2"/>
  <c r="Q222" i="2"/>
  <c r="R222" i="2"/>
  <c r="S222" i="2" s="1"/>
  <c r="P223" i="2"/>
  <c r="Q223" i="2"/>
  <c r="R223" i="2"/>
  <c r="S223" i="2" s="1"/>
  <c r="P224" i="2"/>
  <c r="Q224" i="2"/>
  <c r="R224" i="2"/>
  <c r="S224" i="2" s="1"/>
  <c r="P225" i="2"/>
  <c r="Q225" i="2"/>
  <c r="R225" i="2"/>
  <c r="S225" i="2" s="1"/>
  <c r="P226" i="2"/>
  <c r="Q226" i="2"/>
  <c r="R226" i="2"/>
  <c r="S226" i="2" s="1"/>
  <c r="P227" i="2"/>
  <c r="Q227" i="2"/>
  <c r="R227" i="2"/>
  <c r="S227" i="2" s="1"/>
  <c r="P228" i="2"/>
  <c r="Q228" i="2"/>
  <c r="R228" i="2"/>
  <c r="S228" i="2" s="1"/>
  <c r="P229" i="2"/>
  <c r="Q229" i="2"/>
  <c r="R229" i="2"/>
  <c r="S229" i="2" s="1"/>
  <c r="P230" i="2"/>
  <c r="Q230" i="2"/>
  <c r="R230" i="2"/>
  <c r="S230" i="2" s="1"/>
  <c r="P231" i="2"/>
  <c r="Q231" i="2"/>
  <c r="R231" i="2"/>
  <c r="S231" i="2" s="1"/>
  <c r="P232" i="2"/>
  <c r="Q232" i="2"/>
  <c r="R232" i="2"/>
  <c r="S232" i="2" s="1"/>
  <c r="P233" i="2"/>
  <c r="Q233" i="2"/>
  <c r="R233" i="2"/>
  <c r="S233" i="2" s="1"/>
  <c r="P234" i="2"/>
  <c r="Q234" i="2"/>
  <c r="R234" i="2"/>
  <c r="S234" i="2" s="1"/>
  <c r="P235" i="2"/>
  <c r="Q235" i="2"/>
  <c r="R235" i="2"/>
  <c r="S235" i="2" s="1"/>
  <c r="P236" i="2"/>
  <c r="Q236" i="2"/>
  <c r="R236" i="2"/>
  <c r="S236" i="2" s="1"/>
  <c r="P237" i="2"/>
  <c r="Q237" i="2"/>
  <c r="R237" i="2"/>
  <c r="S237" i="2" s="1"/>
  <c r="P238" i="2"/>
  <c r="Q238" i="2"/>
  <c r="R238" i="2"/>
  <c r="S238" i="2" s="1"/>
  <c r="P239" i="2"/>
  <c r="Q239" i="2"/>
  <c r="R239" i="2"/>
  <c r="S239" i="2" s="1"/>
  <c r="P240" i="2"/>
  <c r="Q240" i="2"/>
  <c r="R240" i="2"/>
  <c r="S240" i="2" s="1"/>
  <c r="P241" i="2"/>
  <c r="Q241" i="2"/>
  <c r="R241" i="2"/>
  <c r="S241" i="2" s="1"/>
  <c r="P242" i="2"/>
  <c r="Q242" i="2"/>
  <c r="R242" i="2"/>
  <c r="S242" i="2" s="1"/>
  <c r="P243" i="2"/>
  <c r="Q243" i="2"/>
  <c r="R243" i="2"/>
  <c r="S243" i="2" s="1"/>
  <c r="P244" i="2"/>
  <c r="Q244" i="2"/>
  <c r="R244" i="2"/>
  <c r="S244" i="2" s="1"/>
  <c r="P245" i="2"/>
  <c r="Q245" i="2"/>
  <c r="R245" i="2"/>
  <c r="S245" i="2" s="1"/>
  <c r="P246" i="2"/>
  <c r="Q246" i="2"/>
  <c r="R246" i="2"/>
  <c r="S246" i="2" s="1"/>
  <c r="P247" i="2"/>
  <c r="Q247" i="2"/>
  <c r="R247" i="2"/>
  <c r="S247" i="2" s="1"/>
  <c r="P248" i="2"/>
  <c r="Q248" i="2"/>
  <c r="R248" i="2"/>
  <c r="S248" i="2" s="1"/>
  <c r="P249" i="2"/>
  <c r="Q249" i="2"/>
  <c r="R249" i="2"/>
  <c r="S249" i="2" s="1"/>
  <c r="P250" i="2"/>
  <c r="Q250" i="2"/>
  <c r="R250" i="2"/>
  <c r="S250" i="2" s="1"/>
  <c r="P251" i="2"/>
  <c r="Q251" i="2"/>
  <c r="R251" i="2"/>
  <c r="S251" i="2" s="1"/>
  <c r="P252" i="2"/>
  <c r="Q252" i="2"/>
  <c r="R252" i="2"/>
  <c r="S252" i="2" s="1"/>
  <c r="P253" i="2"/>
  <c r="Q253" i="2"/>
  <c r="R253" i="2"/>
  <c r="S253" i="2" s="1"/>
  <c r="P254" i="2"/>
  <c r="Q254" i="2"/>
  <c r="R254" i="2"/>
  <c r="S254" i="2" s="1"/>
  <c r="P255" i="2"/>
  <c r="Q255" i="2"/>
  <c r="R255" i="2"/>
  <c r="S255" i="2" s="1"/>
  <c r="P256" i="2"/>
  <c r="Q256" i="2"/>
  <c r="R256" i="2"/>
  <c r="S256" i="2" s="1"/>
  <c r="P257" i="2"/>
  <c r="Q257" i="2"/>
  <c r="R257" i="2"/>
  <c r="S257" i="2" s="1"/>
  <c r="P258" i="2"/>
  <c r="Q258" i="2"/>
  <c r="R258" i="2"/>
  <c r="S258" i="2" s="1"/>
  <c r="P259" i="2"/>
  <c r="Q259" i="2"/>
  <c r="R259" i="2"/>
  <c r="S259" i="2" s="1"/>
  <c r="P260" i="2"/>
  <c r="Q260" i="2"/>
  <c r="R260" i="2"/>
  <c r="S260" i="2" s="1"/>
  <c r="P261" i="2"/>
  <c r="Q261" i="2"/>
  <c r="R261" i="2"/>
  <c r="S261" i="2" s="1"/>
  <c r="P262" i="2"/>
  <c r="Q262" i="2"/>
  <c r="R262" i="2"/>
  <c r="S262" i="2" s="1"/>
  <c r="P263" i="2"/>
  <c r="Q263" i="2"/>
  <c r="R263" i="2"/>
  <c r="S263" i="2" s="1"/>
  <c r="P264" i="2"/>
  <c r="Q264" i="2"/>
  <c r="R264" i="2"/>
  <c r="S264" i="2" s="1"/>
  <c r="P265" i="2"/>
  <c r="Q265" i="2"/>
  <c r="R265" i="2"/>
  <c r="S265" i="2" s="1"/>
  <c r="P266" i="2"/>
  <c r="Q266" i="2"/>
  <c r="R266" i="2"/>
  <c r="S266" i="2" s="1"/>
  <c r="P267" i="2"/>
  <c r="Q267" i="2"/>
  <c r="R267" i="2"/>
  <c r="S267" i="2" s="1"/>
  <c r="P268" i="2"/>
  <c r="Q268" i="2"/>
  <c r="R268" i="2"/>
  <c r="S268" i="2" s="1"/>
  <c r="P269" i="2"/>
  <c r="Q269" i="2"/>
  <c r="R269" i="2"/>
  <c r="S269" i="2" s="1"/>
  <c r="P270" i="2"/>
  <c r="Q270" i="2"/>
  <c r="R270" i="2"/>
  <c r="S270" i="2" s="1"/>
  <c r="P271" i="2"/>
  <c r="Q271" i="2"/>
  <c r="R271" i="2"/>
  <c r="S271" i="2" s="1"/>
  <c r="P272" i="2"/>
  <c r="Q272" i="2"/>
  <c r="R272" i="2"/>
  <c r="S272" i="2" s="1"/>
  <c r="P273" i="2"/>
  <c r="Q273" i="2"/>
  <c r="R273" i="2"/>
  <c r="S273" i="2" s="1"/>
  <c r="P274" i="2"/>
  <c r="Q274" i="2"/>
  <c r="R274" i="2"/>
  <c r="S274" i="2" s="1"/>
  <c r="R6" i="2"/>
  <c r="S6" i="2" s="1"/>
  <c r="Q6" i="2"/>
  <c r="P6" i="2"/>
  <c r="F37" i="5" l="1"/>
  <c r="G16" i="5" l="1"/>
  <c r="G48" i="5"/>
  <c r="F16" i="5"/>
  <c r="G22" i="5"/>
  <c r="G26" i="5" l="1"/>
  <c r="E90" i="5" s="1"/>
  <c r="G54" i="5"/>
  <c r="F54" i="5"/>
  <c r="D54" i="5"/>
  <c r="F56" i="5"/>
  <c r="H24" i="5"/>
  <c r="I24" i="5"/>
  <c r="G24" i="5"/>
  <c r="G56" i="5"/>
  <c r="I56" i="5"/>
  <c r="E56" i="5"/>
  <c r="D56" i="5"/>
  <c r="E24" i="5"/>
  <c r="D24" i="5"/>
  <c r="F24" i="5"/>
  <c r="H56" i="5"/>
  <c r="A90" i="5"/>
  <c r="F77" i="5"/>
  <c r="D73" i="5"/>
  <c r="D77" i="5"/>
  <c r="F80" i="5"/>
  <c r="D80" i="5"/>
  <c r="F69" i="5"/>
  <c r="E68" i="5"/>
  <c r="D68" i="5" s="1"/>
  <c r="E70" i="5"/>
  <c r="D70" i="5"/>
  <c r="E69" i="5"/>
  <c r="D69" i="5" s="1"/>
  <c r="F68" i="5"/>
  <c r="F70" i="5"/>
  <c r="F78" i="5"/>
  <c r="F79" i="5"/>
  <c r="D79" i="5"/>
  <c r="D78" i="5"/>
  <c r="D81" i="5"/>
  <c r="D82" i="5" s="1"/>
  <c r="F81" i="5"/>
  <c r="G77" i="5" s="1"/>
  <c r="F48" i="5"/>
  <c r="F22" i="5"/>
  <c r="F26" i="5" s="1"/>
  <c r="H53" i="5" l="1"/>
  <c r="G58" i="5"/>
  <c r="G90" i="5" s="1"/>
  <c r="H90" i="5" s="1"/>
  <c r="F58" i="5"/>
  <c r="F82" i="5"/>
  <c r="G80" i="5"/>
  <c r="G79" i="5"/>
  <c r="G78" i="5"/>
  <c r="E77" i="5"/>
  <c r="E71" i="5"/>
  <c r="E78" i="5"/>
  <c r="E80" i="5"/>
  <c r="F71" i="5"/>
  <c r="E79" i="5"/>
  <c r="H50" i="5" l="1"/>
  <c r="E50" i="5" s="1"/>
  <c r="I51" i="5"/>
  <c r="H55" i="5"/>
  <c r="H54" i="5" s="1"/>
  <c r="I52" i="5"/>
  <c r="I50" i="5"/>
  <c r="I55" i="5"/>
  <c r="I54" i="5" s="1"/>
  <c r="I53" i="5"/>
  <c r="D83" i="5"/>
  <c r="E72" i="5"/>
  <c r="E53" i="5"/>
  <c r="H19" i="5"/>
  <c r="G81" i="5"/>
  <c r="I20" i="5"/>
  <c r="D71" i="5"/>
  <c r="D72" i="5" s="1"/>
  <c r="F83" i="5"/>
  <c r="F72" i="5"/>
  <c r="E81" i="5"/>
  <c r="I17" i="5"/>
  <c r="H49" i="5"/>
  <c r="H51" i="5"/>
  <c r="I23" i="5"/>
  <c r="I22" i="5" s="1"/>
  <c r="H52" i="5"/>
  <c r="I49" i="5"/>
  <c r="E55" i="5" l="1"/>
  <c r="E54" i="5" s="1"/>
  <c r="I48" i="5"/>
  <c r="E48" i="5" s="1"/>
  <c r="E49" i="5"/>
  <c r="H48" i="5"/>
  <c r="H58" i="5" s="1"/>
  <c r="E52" i="5"/>
  <c r="D48" i="5"/>
  <c r="D58" i="5" s="1"/>
  <c r="D59" i="5" s="1"/>
  <c r="I18" i="5"/>
  <c r="I19" i="5"/>
  <c r="H17" i="5"/>
  <c r="H23" i="5"/>
  <c r="H18" i="5"/>
  <c r="H20" i="5"/>
  <c r="E51" i="5"/>
  <c r="H21" i="5"/>
  <c r="E19" i="5"/>
  <c r="I21" i="5"/>
  <c r="F38" i="5"/>
  <c r="E59" i="5" l="1"/>
  <c r="I58" i="5"/>
  <c r="G91" i="5" s="1"/>
  <c r="I16" i="5"/>
  <c r="D16" i="5" s="1"/>
  <c r="G36" i="5"/>
  <c r="G35" i="5"/>
  <c r="G34" i="5"/>
  <c r="G33" i="5"/>
  <c r="G37" i="5"/>
  <c r="E91" i="5"/>
  <c r="D38" i="5"/>
  <c r="E33" i="5" s="1"/>
  <c r="E21" i="5"/>
  <c r="E20" i="5"/>
  <c r="E18" i="5"/>
  <c r="E23" i="5"/>
  <c r="E22" i="5" s="1"/>
  <c r="H22" i="5"/>
  <c r="D22" i="5"/>
  <c r="H16" i="5"/>
  <c r="E17" i="5"/>
  <c r="E58" i="5" l="1"/>
  <c r="E27" i="5"/>
  <c r="E16" i="5"/>
  <c r="I26" i="5"/>
  <c r="I27" i="5" s="1"/>
  <c r="E35" i="5"/>
  <c r="E34" i="5"/>
  <c r="E36" i="5"/>
  <c r="E37" i="5"/>
  <c r="G38" i="5"/>
  <c r="H26" i="5"/>
  <c r="E26" i="5" l="1"/>
  <c r="H27" i="5"/>
  <c r="E38" i="5"/>
  <c r="H92" i="5"/>
  <c r="H91" i="5" s="1"/>
</calcChain>
</file>

<file path=xl/sharedStrings.xml><?xml version="1.0" encoding="utf-8"?>
<sst xmlns="http://schemas.openxmlformats.org/spreadsheetml/2006/main" count="862" uniqueCount="782">
  <si>
    <t>20 -</t>
  </si>
  <si>
    <t>21 -</t>
  </si>
  <si>
    <t>22 -</t>
  </si>
  <si>
    <t>23 -</t>
  </si>
  <si>
    <t>Toki entitatea:</t>
  </si>
  <si>
    <t>Ekitaldia:</t>
  </si>
  <si>
    <t>Hiruhilekoa:</t>
  </si>
  <si>
    <t>Errentamenduak eta kanonak</t>
  </si>
  <si>
    <t>Materiala, hornidura eta beste batzuk</t>
  </si>
  <si>
    <t>Kalte-ordaina zerbitzuagatik</t>
  </si>
  <si>
    <t>Inbertsio errealak</t>
  </si>
  <si>
    <t>Guztira</t>
  </si>
  <si>
    <t>Ordainketa kopurua</t>
  </si>
  <si>
    <t>Zenbateko osoa</t>
  </si>
  <si>
    <t>Hiruhilekoan egindako ordainketak</t>
  </si>
  <si>
    <t>Eragiketa kopurua</t>
  </si>
  <si>
    <t>Hiruhilekoa amaitzean ordaintzeko daudenak</t>
  </si>
  <si>
    <t>Kopurua</t>
  </si>
  <si>
    <t>Gastuak ondasun arruntetan eta zerbitzuetan</t>
  </si>
  <si>
    <t>Konponketa, mantenimendua eta kontserbazioa</t>
  </si>
  <si>
    <t>Aurrekontura aplikatzeko daudenak</t>
  </si>
  <si>
    <t>ORDAINKETA EPEAREN INFORMAZIOA</t>
  </si>
  <si>
    <t>Hiruhileko ordainketak</t>
  </si>
  <si>
    <t>Bestelakoak</t>
  </si>
  <si>
    <t>2X -</t>
  </si>
  <si>
    <t>Aurrekontura aplikatzeko dauden ordainketak</t>
  </si>
  <si>
    <t>6X -</t>
  </si>
  <si>
    <t xml:space="preserve"> Inbertsio errealak </t>
  </si>
  <si>
    <t>1. Hiruhilekoan egindako ordainketak. Ordainketa epea obligazioa onartu zenetik hasita.</t>
  </si>
  <si>
    <t>1.1. Sailkapen ekonomikoaren arabera</t>
  </si>
  <si>
    <t>1.2. Epearen arabera</t>
  </si>
  <si>
    <t xml:space="preserve">Hiru hilabete ondoren obligazioa onartu gabe duten fakturak eta ordainagiriak </t>
  </si>
  <si>
    <t>Hiruhilekoa amaitzean ordaindu gabe dauden fakturak eta ordainagiriak</t>
  </si>
  <si>
    <t>Ordainketa epea</t>
  </si>
  <si>
    <t>Epez kanpokoena</t>
  </si>
  <si>
    <t>Legezko epearen barruan</t>
  </si>
  <si>
    <t>Legezko epetik kanpo</t>
  </si>
  <si>
    <t>2. Ordaindu gabe gelditu diren fakturak. Epea obligazioa onartu zenetik hasita.</t>
  </si>
  <si>
    <t>3.1. Erregistroan idatzi zirenetik hiru hilabetetik gora daramatenak</t>
  </si>
  <si>
    <t>30 egun edo gutxiago</t>
  </si>
  <si>
    <t>31 eta 60 egun bitartean</t>
  </si>
  <si>
    <t>61 eta 90 egun bitartean</t>
  </si>
  <si>
    <t>90 egun baino gehiago</t>
  </si>
  <si>
    <t>Epea</t>
  </si>
  <si>
    <t>Zenbatekoa</t>
  </si>
  <si>
    <t>Epea
(egunak batez beste)</t>
  </si>
  <si>
    <t>(egunak batez beste)</t>
  </si>
  <si>
    <t>3.2. Erregistroan idatzi zirenetik daramatzaten egunak</t>
  </si>
  <si>
    <t xml:space="preserve">Obligazioa onartu gabe duten fakturak eta ordainagiriak </t>
  </si>
  <si>
    <t>4. Entitatearen ordainketen batez besteko epea (OBBE)</t>
  </si>
  <si>
    <t>OBBE</t>
  </si>
  <si>
    <t>Hiruhilekoaren OBBE</t>
  </si>
  <si>
    <t>Ratioa</t>
  </si>
  <si>
    <t>Ordaindutako eragiketak</t>
  </si>
  <si>
    <t>Ordaindu gabeko eragiketak</t>
  </si>
  <si>
    <t>OBBEari buruzko oharrak:</t>
  </si>
  <si>
    <t>Egun kopurua</t>
  </si>
  <si>
    <t>Egindako ordainketak</t>
  </si>
  <si>
    <t>Faktura kopurua</t>
  </si>
  <si>
    <t>%</t>
  </si>
  <si>
    <t>31etik 40 egunetara</t>
  </si>
  <si>
    <t>41etik 50 egunetara</t>
  </si>
  <si>
    <t>51tik 60 egunetara</t>
  </si>
  <si>
    <t>60 egun baino gehiago</t>
  </si>
  <si>
    <t>3. Hiruhilekoa amaitzean obligazioa onartu gabe duten fakturak eta ordainagiriak</t>
  </si>
  <si>
    <t>Obligaziorik onartu gabeko fakturak</t>
  </si>
  <si>
    <t>Aurrekontuari aplikatu gabeko ordainketak*</t>
  </si>
  <si>
    <t>Aurrekontuari aplikatu gabeko fakturak*</t>
  </si>
  <si>
    <t>* 2. eta 6. kapituluari dagozkion fakturak soilik</t>
  </si>
  <si>
    <t>Hiruhilekoan ordaindutako fakturak</t>
  </si>
  <si>
    <t>Fra data</t>
  </si>
  <si>
    <t>Hirugarrena</t>
  </si>
  <si>
    <t>Azalpena</t>
  </si>
  <si>
    <t>Partida</t>
  </si>
  <si>
    <t>Erregto
 data</t>
  </si>
  <si>
    <t>Espte
 zkia</t>
  </si>
  <si>
    <t>Desz
 Data</t>
  </si>
  <si>
    <t>Epea
 R-O</t>
  </si>
  <si>
    <t>Epea
 O-P</t>
  </si>
  <si>
    <t>Epea
 R-P</t>
  </si>
  <si>
    <t>Hiruhilekoan ordaindu gabe gelditu direnak (O eginda)</t>
  </si>
  <si>
    <t>Hiruhilekoan O egin gabe gelditu direnak</t>
  </si>
  <si>
    <t>ADO-17</t>
  </si>
  <si>
    <t>ADO-12</t>
  </si>
  <si>
    <t>Hirugar.
Kodea</t>
  </si>
  <si>
    <t>Fra zkia</t>
  </si>
  <si>
    <t>Epea
 O
 - HH buk</t>
  </si>
  <si>
    <t>Epea
 R 
 - HH buk</t>
  </si>
  <si>
    <t>Konponketak, mantenimendua eta artapena</t>
  </si>
  <si>
    <t>Materiala, hornidurak eta bestelakoak</t>
  </si>
  <si>
    <t>Kalte-ordainak zerbitzuagatik</t>
  </si>
  <si>
    <t>O-ren
 data</t>
  </si>
  <si>
    <t>P-ren
 data</t>
  </si>
  <si>
    <t>Artik</t>
  </si>
  <si>
    <t>ponderazioa 1</t>
  </si>
  <si>
    <t>ponderazioa 2</t>
  </si>
  <si>
    <t>Epean</t>
  </si>
  <si>
    <t>fecha obligacion y pago para nosotros la misma</t>
  </si>
  <si>
    <t>cuando se acepta</t>
  </si>
  <si>
    <t>obligacion</t>
  </si>
  <si>
    <t>pago</t>
  </si>
  <si>
    <t>onartuak bai</t>
  </si>
  <si>
    <t>Fin trim.</t>
  </si>
  <si>
    <t xml:space="preserve">baina ordainduak ez </t>
  </si>
  <si>
    <t>cuando se aprueban</t>
  </si>
  <si>
    <t>tienen que aprobarse en el trimestre</t>
  </si>
  <si>
    <t>para nosotros aprobacion y pago es la misma fecha</t>
  </si>
  <si>
    <t>ni aceptadas ni pagadas en el trimestre</t>
  </si>
  <si>
    <t>HH BUKAERA</t>
  </si>
  <si>
    <t>Plazo
 R 
  - Fin Trim</t>
  </si>
  <si>
    <t>PMP</t>
  </si>
  <si>
    <t>capit</t>
  </si>
  <si>
    <t>ponderación 1</t>
  </si>
  <si>
    <t>ponderación 2</t>
  </si>
  <si>
    <t>En plazo</t>
  </si>
  <si>
    <t>OARSOALDEA</t>
  </si>
  <si>
    <t>FCC2300893</t>
  </si>
  <si>
    <t>FCC2300905</t>
  </si>
  <si>
    <t>FCC2300906</t>
  </si>
  <si>
    <t>FCC2300942</t>
  </si>
  <si>
    <t>FCC2300943</t>
  </si>
  <si>
    <t>FCC2300946</t>
  </si>
  <si>
    <t>FCC2300947</t>
  </si>
  <si>
    <t>FCC2300948</t>
  </si>
  <si>
    <t>FCC2300949</t>
  </si>
  <si>
    <t>FCC2300950</t>
  </si>
  <si>
    <t>FCC2300951</t>
  </si>
  <si>
    <t>FCC2300952</t>
  </si>
  <si>
    <t>FCC2300953</t>
  </si>
  <si>
    <t>FCC2300954</t>
  </si>
  <si>
    <t>FCC2300955</t>
  </si>
  <si>
    <t>FCC2300956</t>
  </si>
  <si>
    <t>FCC2300962</t>
  </si>
  <si>
    <t>FCC2300963</t>
  </si>
  <si>
    <t>FCC2300964</t>
  </si>
  <si>
    <t>FCC2300965</t>
  </si>
  <si>
    <t>FCC2300966</t>
  </si>
  <si>
    <t>FCC2300967</t>
  </si>
  <si>
    <t>FCC2300968</t>
  </si>
  <si>
    <t>FCC2300972</t>
  </si>
  <si>
    <t>FCC2300973</t>
  </si>
  <si>
    <t>FCC2300974</t>
  </si>
  <si>
    <t>FCC2300975</t>
  </si>
  <si>
    <t>FCC2300976</t>
  </si>
  <si>
    <t>FCC2300977</t>
  </si>
  <si>
    <t>FCC2300978</t>
  </si>
  <si>
    <t>FCC2300979</t>
  </si>
  <si>
    <t>FCC2300980</t>
  </si>
  <si>
    <t>FCC2300981</t>
  </si>
  <si>
    <t>FCC2300982</t>
  </si>
  <si>
    <t>FCC2300983</t>
  </si>
  <si>
    <t>FCC2300984</t>
  </si>
  <si>
    <t>FCC2300985</t>
  </si>
  <si>
    <t>FCC2300986</t>
  </si>
  <si>
    <t>FCC2300987</t>
  </si>
  <si>
    <t>FCC2300988</t>
  </si>
  <si>
    <t>FCC2300989</t>
  </si>
  <si>
    <t>FCC2300990</t>
  </si>
  <si>
    <t>FCC2300991</t>
  </si>
  <si>
    <t>FCC2300992</t>
  </si>
  <si>
    <t>FCC2300993</t>
  </si>
  <si>
    <t>FCC2300994</t>
  </si>
  <si>
    <t>FCC2300995</t>
  </si>
  <si>
    <t>FCC2300996</t>
  </si>
  <si>
    <t>FCC2300999</t>
  </si>
  <si>
    <t>FCC2301000</t>
  </si>
  <si>
    <t>FCC2301001</t>
  </si>
  <si>
    <t>FCC2301002</t>
  </si>
  <si>
    <t>FCC2301003</t>
  </si>
  <si>
    <t>FCC2301004</t>
  </si>
  <si>
    <t>FCC2301005</t>
  </si>
  <si>
    <t>FCC2301006</t>
  </si>
  <si>
    <t>FCC2301007</t>
  </si>
  <si>
    <t>FCC2301008</t>
  </si>
  <si>
    <t>FCC2301009</t>
  </si>
  <si>
    <t>FCC2301014</t>
  </si>
  <si>
    <t>FCC2301015</t>
  </si>
  <si>
    <t>FCC2301016</t>
  </si>
  <si>
    <t>FCC2301017</t>
  </si>
  <si>
    <t>FCC2301018</t>
  </si>
  <si>
    <t>FCC2301019</t>
  </si>
  <si>
    <t>FCC2301020</t>
  </si>
  <si>
    <t>FCC2301021</t>
  </si>
  <si>
    <t>FCC2301022</t>
  </si>
  <si>
    <t>FCC2301023</t>
  </si>
  <si>
    <t>FCC2301024</t>
  </si>
  <si>
    <t>FCC2301025</t>
  </si>
  <si>
    <t>FCC2301026</t>
  </si>
  <si>
    <t>FCC2301027</t>
  </si>
  <si>
    <t>FCC2301028</t>
  </si>
  <si>
    <t>FCC2301029</t>
  </si>
  <si>
    <t>FCC2301030</t>
  </si>
  <si>
    <t>FCC2301031</t>
  </si>
  <si>
    <t>FCC2301032</t>
  </si>
  <si>
    <t>FCC2301033</t>
  </si>
  <si>
    <t>FCC2301034</t>
  </si>
  <si>
    <t>FCC2301035</t>
  </si>
  <si>
    <t>FCC2301036</t>
  </si>
  <si>
    <t>FCC2301037</t>
  </si>
  <si>
    <t>FCC2301038</t>
  </si>
  <si>
    <t>FCC2301039</t>
  </si>
  <si>
    <t>FCC2301040</t>
  </si>
  <si>
    <t>FCC2301041</t>
  </si>
  <si>
    <t>FCC2301042</t>
  </si>
  <si>
    <t>FCC2301043</t>
  </si>
  <si>
    <t>FCC2301044</t>
  </si>
  <si>
    <t>FCC2301045</t>
  </si>
  <si>
    <t>FCC2301046</t>
  </si>
  <si>
    <t>FCC2301047</t>
  </si>
  <si>
    <t>FCC2301048</t>
  </si>
  <si>
    <t>FCC2301049</t>
  </si>
  <si>
    <t>FCC2301051</t>
  </si>
  <si>
    <t>FCC2301052</t>
  </si>
  <si>
    <t>FCC2301053</t>
  </si>
  <si>
    <t>FCC2301054</t>
  </si>
  <si>
    <t>FCC2301056</t>
  </si>
  <si>
    <t>FCC2301066</t>
  </si>
  <si>
    <t>FCC2301067</t>
  </si>
  <si>
    <t>FCC2301068</t>
  </si>
  <si>
    <t>FCC2301069</t>
  </si>
  <si>
    <t>FCC2301070</t>
  </si>
  <si>
    <t>FCC2301071</t>
  </si>
  <si>
    <t>FCC2301072</t>
  </si>
  <si>
    <t>FCC2301073</t>
  </si>
  <si>
    <t>FCC2301074</t>
  </si>
  <si>
    <t>FCC2301075</t>
  </si>
  <si>
    <t>FCC2301076</t>
  </si>
  <si>
    <t>FCC2301077</t>
  </si>
  <si>
    <t>FCC2301078</t>
  </si>
  <si>
    <t>FCC2301079</t>
  </si>
  <si>
    <t>FCC2301080</t>
  </si>
  <si>
    <t>FCC2301081</t>
  </si>
  <si>
    <t>FCC2301082</t>
  </si>
  <si>
    <t>FCC2301083</t>
  </si>
  <si>
    <t>FCC2301084</t>
  </si>
  <si>
    <t>FCC2301085</t>
  </si>
  <si>
    <t>FCC2301086</t>
  </si>
  <si>
    <t>FCC2301087</t>
  </si>
  <si>
    <t>FCC2301094</t>
  </si>
  <si>
    <t>FCC2301095</t>
  </si>
  <si>
    <t>FCC2301096</t>
  </si>
  <si>
    <t>FCC2301104</t>
  </si>
  <si>
    <t>FCC2301105</t>
  </si>
  <si>
    <t>FCC2301106</t>
  </si>
  <si>
    <t>FCC2301107</t>
  </si>
  <si>
    <t>FCC2301108</t>
  </si>
  <si>
    <t>FCC2301109</t>
  </si>
  <si>
    <t>FCC2301111</t>
  </si>
  <si>
    <t>FCC2301112</t>
  </si>
  <si>
    <t>FCC2301113</t>
  </si>
  <si>
    <t>FCC2301114</t>
  </si>
  <si>
    <t>FCC2301117</t>
  </si>
  <si>
    <t>FCC2301118</t>
  </si>
  <si>
    <t>FCC2301119</t>
  </si>
  <si>
    <t>FCC2301120</t>
  </si>
  <si>
    <t>FCC2301121</t>
  </si>
  <si>
    <t>FCC2301123</t>
  </si>
  <si>
    <t>FCC2301124</t>
  </si>
  <si>
    <t>FCC2301125</t>
  </si>
  <si>
    <t>FCC2301126</t>
  </si>
  <si>
    <t>FCC2301128</t>
  </si>
  <si>
    <t>FCC2301129</t>
  </si>
  <si>
    <t>FCC2301131</t>
  </si>
  <si>
    <t>FCC2301132</t>
  </si>
  <si>
    <t>FCC2301133</t>
  </si>
  <si>
    <t>FCC2301134</t>
  </si>
  <si>
    <t>FCC2301135</t>
  </si>
  <si>
    <t>FCC2301136</t>
  </si>
  <si>
    <t>FCC2301137</t>
  </si>
  <si>
    <t>FCC2301138</t>
  </si>
  <si>
    <t>FCC2301139</t>
  </si>
  <si>
    <t>FCC2301140</t>
  </si>
  <si>
    <t>FCC2301141</t>
  </si>
  <si>
    <t>FCC2301142</t>
  </si>
  <si>
    <t>FCC2301143</t>
  </si>
  <si>
    <t>FCC2301144</t>
  </si>
  <si>
    <t>FCC2301145</t>
  </si>
  <si>
    <t>FCC2301147</t>
  </si>
  <si>
    <t>FCC2301148</t>
  </si>
  <si>
    <t>FCC2301149</t>
  </si>
  <si>
    <t>FCC2301150</t>
  </si>
  <si>
    <t>FCC2301151</t>
  </si>
  <si>
    <t>FCC2301152</t>
  </si>
  <si>
    <t>FCC2301154</t>
  </si>
  <si>
    <t>FCC2301155</t>
  </si>
  <si>
    <t>FCC2301157</t>
  </si>
  <si>
    <t>FCC2301158</t>
  </si>
  <si>
    <t>FCC2301159</t>
  </si>
  <si>
    <t>FCC2301160</t>
  </si>
  <si>
    <t>FCC2301161</t>
  </si>
  <si>
    <t>FCC2301162</t>
  </si>
  <si>
    <t>FCC2301163</t>
  </si>
  <si>
    <t>FCC2301164</t>
  </si>
  <si>
    <t>FCC2301165</t>
  </si>
  <si>
    <t>FCC2301166</t>
  </si>
  <si>
    <t>FCC2301167</t>
  </si>
  <si>
    <t>FCC2301168</t>
  </si>
  <si>
    <t>FCC2301169</t>
  </si>
  <si>
    <t>FCC2301170</t>
  </si>
  <si>
    <t>FCC2301171</t>
  </si>
  <si>
    <t>FCC2301172</t>
  </si>
  <si>
    <t>FCC2301173</t>
  </si>
  <si>
    <t>FCC2301174</t>
  </si>
  <si>
    <t>FCC2301175</t>
  </si>
  <si>
    <t>FCC2301176</t>
  </si>
  <si>
    <t>FCC2301177</t>
  </si>
  <si>
    <t>FCC2301178</t>
  </si>
  <si>
    <t>FCC2301179</t>
  </si>
  <si>
    <t>FCC2301180</t>
  </si>
  <si>
    <t>FCC2301182</t>
  </si>
  <si>
    <t>FCC2301185</t>
  </si>
  <si>
    <t>FCC2301186</t>
  </si>
  <si>
    <t>FCC2301187</t>
  </si>
  <si>
    <t>FCC2301188</t>
  </si>
  <si>
    <t>FCC2301190</t>
  </si>
  <si>
    <t>FCC2301191</t>
  </si>
  <si>
    <t>FCC2301194</t>
  </si>
  <si>
    <t>FCC2301195</t>
  </si>
  <si>
    <t>FCC2301196</t>
  </si>
  <si>
    <t>FCC2301197</t>
  </si>
  <si>
    <t>FCC2301198</t>
  </si>
  <si>
    <t>FCC2301199</t>
  </si>
  <si>
    <t>FCC2301200</t>
  </si>
  <si>
    <t>FCC2301201</t>
  </si>
  <si>
    <t>FCC2301202</t>
  </si>
  <si>
    <t>FCC2301203</t>
  </si>
  <si>
    <t>FCC2301204</t>
  </si>
  <si>
    <t>FCC2301205</t>
  </si>
  <si>
    <t>FCC2301206</t>
  </si>
  <si>
    <t>FCC2301207</t>
  </si>
  <si>
    <t>FCC2301208</t>
  </si>
  <si>
    <t>FCC2301209</t>
  </si>
  <si>
    <t>FCC2301210</t>
  </si>
  <si>
    <t>FCC2301211</t>
  </si>
  <si>
    <t>FCC2301212</t>
  </si>
  <si>
    <t>FCC2301213</t>
  </si>
  <si>
    <t>FCC2301214</t>
  </si>
  <si>
    <t>FCC2301215</t>
  </si>
  <si>
    <t>FCC2301216</t>
  </si>
  <si>
    <t>FCC2301217</t>
  </si>
  <si>
    <t>FCC2301218</t>
  </si>
  <si>
    <t>FCC2301219</t>
  </si>
  <si>
    <t>FCC2301220</t>
  </si>
  <si>
    <t>FCC2301221</t>
  </si>
  <si>
    <t>FCC2301222</t>
  </si>
  <si>
    <t>FCC2301223</t>
  </si>
  <si>
    <t>FCC2301224</t>
  </si>
  <si>
    <t>FCC2301225</t>
  </si>
  <si>
    <t>FCC2301226</t>
  </si>
  <si>
    <t>FCC2301227</t>
  </si>
  <si>
    <t>FCC2301228</t>
  </si>
  <si>
    <t>FCC2301229</t>
  </si>
  <si>
    <t>FCC2301230</t>
  </si>
  <si>
    <t>FCC2301231</t>
  </si>
  <si>
    <t>FCC2301232</t>
  </si>
  <si>
    <t>FCC2301233</t>
  </si>
  <si>
    <t>FCC2301234</t>
  </si>
  <si>
    <t>FCC2301240</t>
  </si>
  <si>
    <t>FCC2301241</t>
  </si>
  <si>
    <t>FCC2301242</t>
  </si>
  <si>
    <t>FCC2301243</t>
  </si>
  <si>
    <t>FCC2301247</t>
  </si>
  <si>
    <t>FCC2301248</t>
  </si>
  <si>
    <t>FCC2301249</t>
  </si>
  <si>
    <t>FCC2301250</t>
  </si>
  <si>
    <t>FCC2301251</t>
  </si>
  <si>
    <t>FCC2301252</t>
  </si>
  <si>
    <t>FCC2301253</t>
  </si>
  <si>
    <t>FCC2301255</t>
  </si>
  <si>
    <t>FCC2301256</t>
  </si>
  <si>
    <t>FCC2301257</t>
  </si>
  <si>
    <t>FCC2301258</t>
  </si>
  <si>
    <t>FCC2301259</t>
  </si>
  <si>
    <t>FCC2301260</t>
  </si>
  <si>
    <t>FCC2301261</t>
  </si>
  <si>
    <t>FCC2301262</t>
  </si>
  <si>
    <t>FCC2301263</t>
  </si>
  <si>
    <t>FCC2301264</t>
  </si>
  <si>
    <t>FCC2301265</t>
  </si>
  <si>
    <t>FCC2301266</t>
  </si>
  <si>
    <t>FCC2301267</t>
  </si>
  <si>
    <t>FCC2301268</t>
  </si>
  <si>
    <t>FCC2301269</t>
  </si>
  <si>
    <t>FCC2301270</t>
  </si>
  <si>
    <t>FCC2301271</t>
  </si>
  <si>
    <t>FCC2301272</t>
  </si>
  <si>
    <t>FCC2301273</t>
  </si>
  <si>
    <t>FCC2301274</t>
  </si>
  <si>
    <t>FCC2301275</t>
  </si>
  <si>
    <t>FCC2301276</t>
  </si>
  <si>
    <t>FCC2301277</t>
  </si>
  <si>
    <t>FCC2301278</t>
  </si>
  <si>
    <t>FCC2301279</t>
  </si>
  <si>
    <t>FCC2301280</t>
  </si>
  <si>
    <t>FCC2301281</t>
  </si>
  <si>
    <t>FCC2301282</t>
  </si>
  <si>
    <t>FCC2301283</t>
  </si>
  <si>
    <t>FCC2301284</t>
  </si>
  <si>
    <t>FCC2301285</t>
  </si>
  <si>
    <t>FCC2301286</t>
  </si>
  <si>
    <t>FCC2301287</t>
  </si>
  <si>
    <t>FCC2301288</t>
  </si>
  <si>
    <t>FCC2301289</t>
  </si>
  <si>
    <t>FCC2301290</t>
  </si>
  <si>
    <t>FCC2301291</t>
  </si>
  <si>
    <t>FCC2301292</t>
  </si>
  <si>
    <t>FCC2301293</t>
  </si>
  <si>
    <t>FCC2301294</t>
  </si>
  <si>
    <t>FCC2301295</t>
  </si>
  <si>
    <t>FCC2301296</t>
  </si>
  <si>
    <t>FCC2301297</t>
  </si>
  <si>
    <t>FCC2301298</t>
  </si>
  <si>
    <t>FCC2301300</t>
  </si>
  <si>
    <t>FCC2301301</t>
  </si>
  <si>
    <t>FCC2301302</t>
  </si>
  <si>
    <t>FCC2301303</t>
  </si>
  <si>
    <t>FCC2301304</t>
  </si>
  <si>
    <t>FCC2301305</t>
  </si>
  <si>
    <t>FCC2301306</t>
  </si>
  <si>
    <t>FCC2301307</t>
  </si>
  <si>
    <t>FCC2301308</t>
  </si>
  <si>
    <t>FCC2301309</t>
  </si>
  <si>
    <t>FCC2301310</t>
  </si>
  <si>
    <t>FCC2301312</t>
  </si>
  <si>
    <t>FCC2301313</t>
  </si>
  <si>
    <t>FCC2301321</t>
  </si>
  <si>
    <t>FCC2301322</t>
  </si>
  <si>
    <t>FCC2301323</t>
  </si>
  <si>
    <t>FCC2301325</t>
  </si>
  <si>
    <t>FCC2301326</t>
  </si>
  <si>
    <t>FCC2301327</t>
  </si>
  <si>
    <t>FCC2301328</t>
  </si>
  <si>
    <t>FCC2301329</t>
  </si>
  <si>
    <t>FCC2301331</t>
  </si>
  <si>
    <t>FCC2301332</t>
  </si>
  <si>
    <t>FCC2301333</t>
  </si>
  <si>
    <t>FCC2301334</t>
  </si>
  <si>
    <t>FCC2301336</t>
  </si>
  <si>
    <t>FCC2301337</t>
  </si>
  <si>
    <t>FCC2301338</t>
  </si>
  <si>
    <t>FCC2301345</t>
  </si>
  <si>
    <t>FCC2301346</t>
  </si>
  <si>
    <t>FCC2301347</t>
  </si>
  <si>
    <t>FCC2301348</t>
  </si>
  <si>
    <t>FCC2301352</t>
  </si>
  <si>
    <t>FCC2301353</t>
  </si>
  <si>
    <t>FCC2301356</t>
  </si>
  <si>
    <t>FCC2301357</t>
  </si>
  <si>
    <t>FCC2301358</t>
  </si>
  <si>
    <t>FCC2301359</t>
  </si>
  <si>
    <t>FCC2301360</t>
  </si>
  <si>
    <t>10/2023</t>
  </si>
  <si>
    <t>28-J3U1-052538</t>
  </si>
  <si>
    <t>TA78T0059824</t>
  </si>
  <si>
    <t>4822772223</t>
  </si>
  <si>
    <t>23/2023</t>
  </si>
  <si>
    <t>0000522238/2023</t>
  </si>
  <si>
    <t>0000541919/2023</t>
  </si>
  <si>
    <t>AA23002335</t>
  </si>
  <si>
    <t>IFC2309-14419</t>
  </si>
  <si>
    <t>2022/197</t>
  </si>
  <si>
    <t>2022/194</t>
  </si>
  <si>
    <t>112F 39017</t>
  </si>
  <si>
    <t>B 23.000.014</t>
  </si>
  <si>
    <t>F2023124</t>
  </si>
  <si>
    <t>23/36</t>
  </si>
  <si>
    <t>FVC2300010</t>
  </si>
  <si>
    <t>PO-230330</t>
  </si>
  <si>
    <t>FS2/2023/00021453</t>
  </si>
  <si>
    <t>CONTRATO 1770</t>
  </si>
  <si>
    <t>5717 VN</t>
  </si>
  <si>
    <t>TB-2023-F 2</t>
  </si>
  <si>
    <t>FS2/2023/00022564</t>
  </si>
  <si>
    <t>TB-2023-F 50</t>
  </si>
  <si>
    <t>LIQUIDAC 3er TRIM</t>
  </si>
  <si>
    <t>F23/2065</t>
  </si>
  <si>
    <t>E0300PHFVE</t>
  </si>
  <si>
    <t>E0300PHFVD</t>
  </si>
  <si>
    <t>11/2023</t>
  </si>
  <si>
    <t>230902364/00748</t>
  </si>
  <si>
    <t>1 230891</t>
  </si>
  <si>
    <t>G2300726</t>
  </si>
  <si>
    <t>AL31-2023</t>
  </si>
  <si>
    <t>A0000665</t>
  </si>
  <si>
    <t>68</t>
  </si>
  <si>
    <t>TB-2023-F 71</t>
  </si>
  <si>
    <t>23/T00196</t>
  </si>
  <si>
    <t>TB-2023-F 6</t>
  </si>
  <si>
    <t>TB-2023-F 195</t>
  </si>
  <si>
    <t>AA23002416</t>
  </si>
  <si>
    <t>AA23002436</t>
  </si>
  <si>
    <t>TB-2023-F 46</t>
  </si>
  <si>
    <t>SAJ/2023/1164</t>
  </si>
  <si>
    <t>SAJ/2023/1163</t>
  </si>
  <si>
    <t>RI/23052193</t>
  </si>
  <si>
    <t>1.195/2023</t>
  </si>
  <si>
    <t>FA146579</t>
  </si>
  <si>
    <t>FAC-2023-000131</t>
  </si>
  <si>
    <t>FA2023066</t>
  </si>
  <si>
    <t>A 36111</t>
  </si>
  <si>
    <t>Z 23/0540</t>
  </si>
  <si>
    <t>AA23002448</t>
  </si>
  <si>
    <t>AA23002381</t>
  </si>
  <si>
    <t>S 2023110</t>
  </si>
  <si>
    <t>HG6630</t>
  </si>
  <si>
    <t>TB-2023-F 40</t>
  </si>
  <si>
    <t>FS2/2023/00023150</t>
  </si>
  <si>
    <t>12023/446965</t>
  </si>
  <si>
    <t>EC/2289051</t>
  </si>
  <si>
    <t>B2712674</t>
  </si>
  <si>
    <t>S 2023109</t>
  </si>
  <si>
    <t>S 2023111</t>
  </si>
  <si>
    <t>S 2023108</t>
  </si>
  <si>
    <t>28-K3U1-092761</t>
  </si>
  <si>
    <t>TA78U0059832</t>
  </si>
  <si>
    <t>0000597989/2023</t>
  </si>
  <si>
    <t>0000595711/2023</t>
  </si>
  <si>
    <t>TB-2023-F 3</t>
  </si>
  <si>
    <t>231.100</t>
  </si>
  <si>
    <t>231.143</t>
  </si>
  <si>
    <t>FS2/2023/00023167</t>
  </si>
  <si>
    <t>09231030030004912</t>
  </si>
  <si>
    <t>09231030030004911</t>
  </si>
  <si>
    <t>21231030030000025</t>
  </si>
  <si>
    <t>21231030030000026</t>
  </si>
  <si>
    <t>21231030030000027</t>
  </si>
  <si>
    <t>21231030030000033</t>
  </si>
  <si>
    <t>21231030030008410</t>
  </si>
  <si>
    <t>21231030030003862</t>
  </si>
  <si>
    <t>21231030030010701</t>
  </si>
  <si>
    <t>21231030030018056</t>
  </si>
  <si>
    <t>21231030030018912</t>
  </si>
  <si>
    <t>21231030030010559</t>
  </si>
  <si>
    <t>21231030030010560</t>
  </si>
  <si>
    <t>21231030030010561</t>
  </si>
  <si>
    <t>09231030030002544</t>
  </si>
  <si>
    <t>4309661</t>
  </si>
  <si>
    <t>4843225015</t>
  </si>
  <si>
    <t>SUFN/2302342</t>
  </si>
  <si>
    <t>23-S-5.142</t>
  </si>
  <si>
    <t>7250202310</t>
  </si>
  <si>
    <t>202303085</t>
  </si>
  <si>
    <t>TB-2023-F 7</t>
  </si>
  <si>
    <t>INV-2023-11187</t>
  </si>
  <si>
    <t>T43303</t>
  </si>
  <si>
    <t>TB-2023-F 8</t>
  </si>
  <si>
    <t>P20017752</t>
  </si>
  <si>
    <t>G2300771</t>
  </si>
  <si>
    <t>GIP/20230551</t>
  </si>
  <si>
    <t>2022/211</t>
  </si>
  <si>
    <t>028Z7CT</t>
  </si>
  <si>
    <t>5329539</t>
  </si>
  <si>
    <t>FVC2300011</t>
  </si>
  <si>
    <t>2023/45</t>
  </si>
  <si>
    <t>F2022332</t>
  </si>
  <si>
    <t>SL23000894</t>
  </si>
  <si>
    <t>1 231353</t>
  </si>
  <si>
    <t>451/23</t>
  </si>
  <si>
    <t>231241</t>
  </si>
  <si>
    <t>G2300767</t>
  </si>
  <si>
    <t>TB-2023-F 75</t>
  </si>
  <si>
    <t>23.092</t>
  </si>
  <si>
    <t>FS2/2023/00024269</t>
  </si>
  <si>
    <t>2118/23</t>
  </si>
  <si>
    <t>2119/23</t>
  </si>
  <si>
    <t>TB-2023-F 145</t>
  </si>
  <si>
    <t>F23/2327</t>
  </si>
  <si>
    <t>2023-245</t>
  </si>
  <si>
    <t>TB-2023-Z 1</t>
  </si>
  <si>
    <t>27/2023</t>
  </si>
  <si>
    <t>26/2023</t>
  </si>
  <si>
    <t>FS2/2023/00023659</t>
  </si>
  <si>
    <t>IFC2310-16466</t>
  </si>
  <si>
    <t>2.023/197</t>
  </si>
  <si>
    <t>28/2023</t>
  </si>
  <si>
    <t>29/2023</t>
  </si>
  <si>
    <t>F23085</t>
  </si>
  <si>
    <t>FBADS-700-102914791</t>
  </si>
  <si>
    <t>FBADS-700-102901564</t>
  </si>
  <si>
    <t>FBADS-700-102919540</t>
  </si>
  <si>
    <t>12023/464275</t>
  </si>
  <si>
    <t>12023/466744</t>
  </si>
  <si>
    <t>ES/2023/64522</t>
  </si>
  <si>
    <t>CONTRATO 1963</t>
  </si>
  <si>
    <t>HH4792</t>
  </si>
  <si>
    <t>T 355</t>
  </si>
  <si>
    <t>30/2023</t>
  </si>
  <si>
    <t>31/2023</t>
  </si>
  <si>
    <t>FS2/2023/00024895</t>
  </si>
  <si>
    <t>E0300PVT9V</t>
  </si>
  <si>
    <t>E0300PVQAL</t>
  </si>
  <si>
    <t>TB-2023-F 77</t>
  </si>
  <si>
    <t>TB-2023-F 92</t>
  </si>
  <si>
    <t>F23084</t>
  </si>
  <si>
    <t>B-0000226</t>
  </si>
  <si>
    <t>100113</t>
  </si>
  <si>
    <t>AA23002625</t>
  </si>
  <si>
    <t>TB-2023-F 36</t>
  </si>
  <si>
    <t>FBADS-700-102938920</t>
  </si>
  <si>
    <t>FBADS-700-102947834</t>
  </si>
  <si>
    <t>FBADS-700-102927718</t>
  </si>
  <si>
    <t>A/003675</t>
  </si>
  <si>
    <t>A/003676</t>
  </si>
  <si>
    <t>12/2023</t>
  </si>
  <si>
    <t>A-199</t>
  </si>
  <si>
    <t>FA2023072</t>
  </si>
  <si>
    <t>0299XK6</t>
  </si>
  <si>
    <t>28-L3U1-100234</t>
  </si>
  <si>
    <t>TA78V0059924</t>
  </si>
  <si>
    <t>A23/1722</t>
  </si>
  <si>
    <t>TB-2023-F 9</t>
  </si>
  <si>
    <t>231138</t>
  </si>
  <si>
    <t>5959 VN</t>
  </si>
  <si>
    <t>5876 VN</t>
  </si>
  <si>
    <t>TB-2023-F 31</t>
  </si>
  <si>
    <t>4-000083</t>
  </si>
  <si>
    <t>01/0102/FOR/000870/2023</t>
  </si>
  <si>
    <t>4310292</t>
  </si>
  <si>
    <t>1 000887</t>
  </si>
  <si>
    <t>1.295/2023</t>
  </si>
  <si>
    <t>1.297/2023</t>
  </si>
  <si>
    <t>FBADS-700-102958954</t>
  </si>
  <si>
    <t>231.267</t>
  </si>
  <si>
    <t>231.224</t>
  </si>
  <si>
    <t>2024</t>
  </si>
  <si>
    <t>5331972</t>
  </si>
  <si>
    <t>GIP/20230604</t>
  </si>
  <si>
    <t>TB-2023-A 9</t>
  </si>
  <si>
    <t>7250203305</t>
  </si>
  <si>
    <t>TB-2023-F 37</t>
  </si>
  <si>
    <t>0000637446/2023</t>
  </si>
  <si>
    <t>0000648576/2023</t>
  </si>
  <si>
    <t>2023/1.703</t>
  </si>
  <si>
    <t>4870417710</t>
  </si>
  <si>
    <t>23-030</t>
  </si>
  <si>
    <t>488/23</t>
  </si>
  <si>
    <t>308001357</t>
  </si>
  <si>
    <t>1 231488</t>
  </si>
  <si>
    <t>A2324131561</t>
  </si>
  <si>
    <t>FS2/2023/00026198</t>
  </si>
  <si>
    <t>T43567</t>
  </si>
  <si>
    <t>2022/243</t>
  </si>
  <si>
    <t>Z/2023/0058</t>
  </si>
  <si>
    <t>0000698</t>
  </si>
  <si>
    <t>0000699</t>
  </si>
  <si>
    <t>CONTRATO 2084</t>
  </si>
  <si>
    <t>V20231477</t>
  </si>
  <si>
    <t>TB-2023-F 67</t>
  </si>
  <si>
    <t>AA23002778</t>
  </si>
  <si>
    <t>FA146692</t>
  </si>
  <si>
    <t>TB-2023-F 73</t>
  </si>
  <si>
    <t>TB-2023-F 23</t>
  </si>
  <si>
    <t>F2023204</t>
  </si>
  <si>
    <t>21231129030009355</t>
  </si>
  <si>
    <t>21231129030009354</t>
  </si>
  <si>
    <t>21231129030009353</t>
  </si>
  <si>
    <t>21231129030009496</t>
  </si>
  <si>
    <t>09231129030002501</t>
  </si>
  <si>
    <t>21231129030007288</t>
  </si>
  <si>
    <t>21231129030000030</t>
  </si>
  <si>
    <t>21231129030000024</t>
  </si>
  <si>
    <t>21231129030000023</t>
  </si>
  <si>
    <t>21231129030000022</t>
  </si>
  <si>
    <t>21231129030017382</t>
  </si>
  <si>
    <t>21231129030016539</t>
  </si>
  <si>
    <t>21231129030003355</t>
  </si>
  <si>
    <t>A-107487</t>
  </si>
  <si>
    <t>FBADS-700-102973958</t>
  </si>
  <si>
    <t>1.331/2023</t>
  </si>
  <si>
    <t>A 00231204</t>
  </si>
  <si>
    <t>A 00231205</t>
  </si>
  <si>
    <t>TB-2023-F 41</t>
  </si>
  <si>
    <t>23S029</t>
  </si>
  <si>
    <t>2.023/214</t>
  </si>
  <si>
    <t>TB-2023-F 17</t>
  </si>
  <si>
    <t>F23090</t>
  </si>
  <si>
    <t>F23091</t>
  </si>
  <si>
    <t>68.679</t>
  </si>
  <si>
    <t>PO-230408</t>
  </si>
  <si>
    <t>E0300Q9MWK</t>
  </si>
  <si>
    <t>0289992023D0265428</t>
  </si>
  <si>
    <t>FS2/2023/00027333</t>
  </si>
  <si>
    <t>FS2/2023/00027322</t>
  </si>
  <si>
    <t>CONTRATO 2308</t>
  </si>
  <si>
    <t>E0300Q9W7C</t>
  </si>
  <si>
    <t>HI5291</t>
  </si>
  <si>
    <t>FV23-00465</t>
  </si>
  <si>
    <t>FV23-00464</t>
  </si>
  <si>
    <t>0001761</t>
  </si>
  <si>
    <t>0001762</t>
  </si>
  <si>
    <t>INV-2023-11231</t>
  </si>
  <si>
    <t>23/G00863</t>
  </si>
  <si>
    <t>G2300895</t>
  </si>
  <si>
    <t>G2300896</t>
  </si>
  <si>
    <t>A/004095</t>
  </si>
  <si>
    <t>A/004096</t>
  </si>
  <si>
    <t>A/004094</t>
  </si>
  <si>
    <t>45/F22</t>
  </si>
  <si>
    <t>75/F22</t>
  </si>
  <si>
    <t>P-0000064</t>
  </si>
  <si>
    <t>23/1959</t>
  </si>
  <si>
    <t>2023000569-C</t>
  </si>
  <si>
    <t>4082997</t>
  </si>
  <si>
    <t>FV/2023/0642</t>
  </si>
  <si>
    <t>TB-2023-F 76</t>
  </si>
  <si>
    <t>01/0102/FOR/000944/2023</t>
  </si>
  <si>
    <t>01/0102/FOR/000948/2023</t>
  </si>
  <si>
    <t>F2023211</t>
  </si>
  <si>
    <t>029KNG3</t>
  </si>
  <si>
    <t>231.408</t>
  </si>
  <si>
    <t>231.392</t>
  </si>
  <si>
    <t>231.347</t>
  </si>
  <si>
    <t>21231228030000023</t>
  </si>
  <si>
    <t>21231228030000024</t>
  </si>
  <si>
    <t>GIP/20.230.676</t>
  </si>
  <si>
    <t>23198</t>
  </si>
  <si>
    <t>F00003457</t>
  </si>
  <si>
    <t>1 231623</t>
  </si>
  <si>
    <t>A2324151522</t>
  </si>
  <si>
    <t>NAC 870</t>
  </si>
  <si>
    <t>IFC2312-11501</t>
  </si>
  <si>
    <t>IFC2312-11502</t>
  </si>
  <si>
    <t>T 414</t>
  </si>
  <si>
    <t>2.023/219</t>
  </si>
  <si>
    <t>233.038</t>
  </si>
  <si>
    <t>140</t>
  </si>
  <si>
    <t>TB-2023-F 28</t>
  </si>
  <si>
    <t>FAC2023A140</t>
  </si>
  <si>
    <t>TB-2023-F 136</t>
  </si>
  <si>
    <t>TB-2023-F 83</t>
  </si>
  <si>
    <t>TB-2023-F 82</t>
  </si>
  <si>
    <t>200/C23</t>
  </si>
  <si>
    <t>201/C23</t>
  </si>
  <si>
    <t>23022914</t>
  </si>
  <si>
    <t>23022916</t>
  </si>
  <si>
    <t>23022917</t>
  </si>
  <si>
    <t>4885407980</t>
  </si>
  <si>
    <t>23/981</t>
  </si>
  <si>
    <t>FVC2300012</t>
  </si>
  <si>
    <t>0302312FV0400</t>
  </si>
  <si>
    <t>0302312FV0399</t>
  </si>
  <si>
    <t>7250204261</t>
  </si>
  <si>
    <t>7250204260</t>
  </si>
  <si>
    <t>21231228030000031</t>
  </si>
  <si>
    <t>21231228030000025</t>
  </si>
  <si>
    <t>21231228030003709</t>
  </si>
  <si>
    <t>09231228030002266</t>
  </si>
  <si>
    <t>21231228030007916</t>
  </si>
  <si>
    <t>21231228030017795</t>
  </si>
  <si>
    <t>21231228030009839</t>
  </si>
  <si>
    <t>21231228030009840</t>
  </si>
  <si>
    <t>21231228030009841</t>
  </si>
  <si>
    <t>21231228030016962</t>
  </si>
  <si>
    <t>21231228030009983</t>
  </si>
  <si>
    <t>B 23.000.501</t>
  </si>
  <si>
    <t>B 23.000.499</t>
  </si>
  <si>
    <t>S 2023178</t>
  </si>
  <si>
    <t>PO-230447</t>
  </si>
  <si>
    <t>S 2023177</t>
  </si>
  <si>
    <t>S 2023180</t>
  </si>
  <si>
    <t>S 2023179</t>
  </si>
  <si>
    <t>00003990</t>
  </si>
  <si>
    <t>00003971</t>
  </si>
  <si>
    <t>S 2023181</t>
  </si>
  <si>
    <t>23/860</t>
  </si>
  <si>
    <t>F23/2481</t>
  </si>
  <si>
    <t>S 2023206</t>
  </si>
  <si>
    <t>S 2023207</t>
  </si>
  <si>
    <t>177/2023</t>
  </si>
  <si>
    <t>5335445</t>
  </si>
  <si>
    <t>5333594</t>
  </si>
  <si>
    <t>FSBR23-00576</t>
  </si>
  <si>
    <t>6077 VN</t>
  </si>
  <si>
    <t>BORME/2023/5701</t>
  </si>
  <si>
    <t>11/2023/8.034</t>
  </si>
  <si>
    <t>F23099</t>
  </si>
  <si>
    <t>F23100</t>
  </si>
  <si>
    <t>798 GR</t>
  </si>
  <si>
    <t>T-23957</t>
  </si>
  <si>
    <t>F-234</t>
  </si>
  <si>
    <t>TB-2023-F 25</t>
  </si>
  <si>
    <t>0292606961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</si>
</sst>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9"/>
      </patternFill>
    </fill>
    <fill>
      <patternFill patternType="solid">
        <fgColor indexed="22"/>
        <bgColor indexed="55"/>
      </patternFill>
    </fill>
    <fill>
      <patternFill patternType="solid">
        <fgColor indexed="44"/>
        <bgColor indexed="2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30"/>
        <bgColor indexed="21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55"/>
      </right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55"/>
      </right>
      <top style="thin">
        <color indexed="55"/>
      </top>
      <bottom/>
      <diagonal/>
    </border>
    <border>
      <left style="medium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  <diagonal/>
    </border>
    <border>
      <left style="thin">
        <color indexed="55"/>
      </left>
      <right style="medium">
        <color indexed="23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  <diagonal/>
    </border>
    <border>
      <left/>
      <right style="thin">
        <color indexed="55"/>
      </right>
      <top style="thin">
        <color indexed="55"/>
      </top>
      <bottom style="medium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  <diagonal/>
    </border>
    <border>
      <left/>
      <right style="thin">
        <color indexed="55"/>
      </right>
      <top/>
      <bottom style="medium">
        <color indexed="23"/>
      </bottom>
      <diagonal/>
    </border>
    <border>
      <left style="thin">
        <color indexed="55"/>
      </left>
      <right style="thin">
        <color indexed="55"/>
      </right>
      <top/>
      <bottom style="medium">
        <color indexed="23"/>
      </bottom>
      <diagonal/>
    </border>
    <border>
      <left style="thin">
        <color indexed="55"/>
      </left>
      <right style="medium">
        <color indexed="23"/>
      </right>
      <top/>
      <bottom style="medium">
        <color indexed="23"/>
      </bottom>
      <diagonal/>
    </border>
    <border>
      <left/>
      <right style="thin">
        <color indexed="55"/>
      </right>
      <top style="medium">
        <color indexed="23"/>
      </top>
      <bottom style="thin">
        <color indexed="55"/>
      </bottom>
      <diagonal/>
    </border>
    <border>
      <left style="thin">
        <color indexed="55"/>
      </left>
      <right style="medium">
        <color indexed="23"/>
      </right>
      <top style="medium">
        <color indexed="23"/>
      </top>
      <bottom style="thin">
        <color indexed="55"/>
      </bottom>
      <diagonal/>
    </border>
    <border>
      <left style="thin">
        <color indexed="55"/>
      </left>
      <right style="medium">
        <color indexed="23"/>
      </right>
      <top/>
      <bottom/>
      <diagonal/>
    </border>
    <border>
      <left style="thin">
        <color indexed="55"/>
      </left>
      <right style="medium">
        <color indexed="23"/>
      </right>
      <top style="thin">
        <color indexed="55"/>
      </top>
      <bottom style="medium">
        <color indexed="23"/>
      </bottom>
      <diagonal/>
    </border>
    <border>
      <left/>
      <right style="medium">
        <color indexed="23"/>
      </right>
      <top style="thin">
        <color indexed="55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indexed="23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23"/>
      </left>
      <right/>
      <top/>
      <bottom style="thin">
        <color indexed="55"/>
      </bottom>
      <diagonal/>
    </border>
    <border>
      <left style="medium">
        <color indexed="23"/>
      </left>
      <right/>
      <top style="thin">
        <color indexed="55"/>
      </top>
      <bottom/>
      <diagonal/>
    </border>
    <border>
      <left style="thin">
        <color indexed="55"/>
      </left>
      <right style="medium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23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hair">
        <color indexed="8"/>
      </right>
      <top style="thin">
        <color indexed="55"/>
      </top>
      <bottom style="medium">
        <color indexed="23"/>
      </bottom>
      <diagonal/>
    </border>
    <border>
      <left style="hair">
        <color indexed="8"/>
      </left>
      <right style="hair">
        <color indexed="8"/>
      </right>
      <top style="thin">
        <color indexed="55"/>
      </top>
      <bottom style="medium">
        <color indexed="23"/>
      </bottom>
      <diagonal/>
    </border>
    <border>
      <left style="hair">
        <color indexed="8"/>
      </left>
      <right style="medium">
        <color indexed="55"/>
      </right>
      <top style="thin">
        <color indexed="55"/>
      </top>
      <bottom style="medium">
        <color indexed="23"/>
      </bottom>
      <diagonal/>
    </border>
    <border>
      <left style="medium">
        <color indexed="23"/>
      </left>
      <right style="thin">
        <color indexed="55"/>
      </right>
      <top style="medium">
        <color indexed="23"/>
      </top>
      <bottom style="thin">
        <color indexed="55"/>
      </bottom>
      <diagonal/>
    </border>
    <border>
      <left style="thin">
        <color indexed="55"/>
      </left>
      <right/>
      <top style="medium">
        <color indexed="23"/>
      </top>
      <bottom style="thin">
        <color indexed="55"/>
      </bottom>
      <diagonal/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medium">
        <color indexed="23"/>
      </right>
      <top style="medium">
        <color indexed="23"/>
      </top>
      <bottom style="thin">
        <color indexed="55"/>
      </bottom>
      <diagonal/>
    </border>
    <border>
      <left/>
      <right style="medium">
        <color indexed="23"/>
      </right>
      <top style="thin">
        <color indexed="55"/>
      </top>
      <bottom style="thin">
        <color indexed="55"/>
      </bottom>
      <diagonal/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  <diagonal/>
    </border>
    <border>
      <left style="thin">
        <color indexed="55"/>
      </left>
      <right/>
      <top style="thin">
        <color indexed="55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 style="medium">
        <color indexed="55"/>
      </right>
      <top style="thin">
        <color indexed="55"/>
      </top>
      <bottom/>
      <diagonal/>
    </border>
    <border>
      <left style="medium">
        <color indexed="23"/>
      </left>
      <right style="thin">
        <color indexed="55"/>
      </right>
      <top style="hair">
        <color indexed="8"/>
      </top>
      <bottom style="medium">
        <color indexed="23"/>
      </bottom>
      <diagonal/>
    </border>
    <border>
      <left style="thin">
        <color indexed="55"/>
      </left>
      <right/>
      <top/>
      <bottom style="medium">
        <color indexed="23"/>
      </bottom>
      <diagonal/>
    </border>
    <border>
      <left/>
      <right style="medium">
        <color indexed="55"/>
      </right>
      <top/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23"/>
      </top>
      <bottom/>
      <diagonal/>
    </border>
    <border>
      <left style="thin">
        <color indexed="55"/>
      </left>
      <right style="medium">
        <color indexed="55"/>
      </right>
      <top style="medium">
        <color indexed="23"/>
      </top>
      <bottom/>
      <diagonal/>
    </border>
    <border>
      <left style="medium">
        <color indexed="23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medium">
        <color indexed="23"/>
      </left>
      <right style="thin">
        <color indexed="55"/>
      </right>
      <top/>
      <bottom/>
      <diagonal/>
    </border>
    <border>
      <left style="medium">
        <color indexed="23"/>
      </left>
      <right style="hair">
        <color indexed="8"/>
      </right>
      <top/>
      <bottom style="medium">
        <color indexed="23"/>
      </bottom>
      <diagonal/>
    </border>
    <border>
      <left style="hair">
        <color indexed="8"/>
      </left>
      <right style="hair">
        <color indexed="8"/>
      </right>
      <top/>
      <bottom style="medium">
        <color indexed="23"/>
      </bottom>
      <diagonal/>
    </border>
    <border>
      <left style="hair">
        <color indexed="8"/>
      </left>
      <right style="medium">
        <color indexed="55"/>
      </right>
      <top/>
      <bottom style="medium">
        <color indexed="23"/>
      </bottom>
      <diagonal/>
    </border>
    <border>
      <left style="medium">
        <color indexed="23"/>
      </left>
      <right/>
      <top style="hair">
        <color indexed="8"/>
      </top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9" fillId="0" borderId="0"/>
    <xf numFmtId="0" fontId="19" fillId="0" borderId="0"/>
    <xf numFmtId="0" fontId="2" fillId="0" borderId="0"/>
    <xf numFmtId="0" fontId="1" fillId="0" borderId="0"/>
  </cellStyleXfs>
  <cellXfs count="19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2" borderId="0" xfId="0" applyFont="1" applyFill="1" applyAlignment="1">
      <alignment wrapText="1"/>
    </xf>
    <xf numFmtId="0" fontId="6" fillId="2" borderId="0" xfId="0" applyFont="1" applyFill="1"/>
    <xf numFmtId="4" fontId="6" fillId="0" borderId="0" xfId="0" applyNumberFormat="1" applyFont="1"/>
    <xf numFmtId="4" fontId="4" fillId="0" borderId="0" xfId="0" applyNumberFormat="1" applyFont="1"/>
    <xf numFmtId="4" fontId="6" fillId="2" borderId="0" xfId="0" applyNumberFormat="1" applyFont="1" applyFill="1"/>
    <xf numFmtId="3" fontId="4" fillId="0" borderId="0" xfId="0" applyNumberFormat="1" applyFont="1"/>
    <xf numFmtId="3" fontId="6" fillId="2" borderId="0" xfId="0" applyNumberFormat="1" applyFont="1" applyFill="1" applyAlignment="1">
      <alignment horizontal="center" wrapText="1"/>
    </xf>
    <xf numFmtId="3" fontId="6" fillId="3" borderId="0" xfId="0" applyNumberFormat="1" applyFont="1" applyFill="1" applyAlignment="1">
      <alignment horizontal="center" wrapText="1"/>
    </xf>
    <xf numFmtId="3" fontId="6" fillId="4" borderId="0" xfId="0" applyNumberFormat="1" applyFont="1" applyFill="1" applyAlignment="1">
      <alignment horizontal="center" wrapText="1"/>
    </xf>
    <xf numFmtId="3" fontId="6" fillId="5" borderId="0" xfId="0" applyNumberFormat="1" applyFont="1" applyFill="1" applyAlignment="1">
      <alignment horizontal="center" wrapText="1"/>
    </xf>
    <xf numFmtId="164" fontId="4" fillId="0" borderId="0" xfId="0" applyNumberFormat="1" applyFont="1"/>
    <xf numFmtId="164" fontId="6" fillId="2" borderId="0" xfId="0" applyNumberFormat="1" applyFont="1" applyFill="1" applyAlignment="1">
      <alignment horizontal="center" wrapText="1"/>
    </xf>
    <xf numFmtId="164" fontId="6" fillId="0" borderId="0" xfId="0" applyNumberFormat="1" applyFont="1"/>
    <xf numFmtId="164" fontId="6" fillId="2" borderId="0" xfId="0" applyNumberFormat="1" applyFont="1" applyFill="1"/>
    <xf numFmtId="0" fontId="7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4" fontId="6" fillId="7" borderId="3" xfId="0" applyNumberFormat="1" applyFont="1" applyFill="1" applyBorder="1"/>
    <xf numFmtId="3" fontId="6" fillId="7" borderId="3" xfId="0" applyNumberFormat="1" applyFont="1" applyFill="1" applyBorder="1"/>
    <xf numFmtId="4" fontId="4" fillId="0" borderId="4" xfId="0" applyNumberFormat="1" applyFont="1" applyBorder="1"/>
    <xf numFmtId="3" fontId="4" fillId="0" borderId="4" xfId="0" applyNumberFormat="1" applyFont="1" applyBorder="1"/>
    <xf numFmtId="3" fontId="6" fillId="7" borderId="4" xfId="0" applyNumberFormat="1" applyFont="1" applyFill="1" applyBorder="1"/>
    <xf numFmtId="4" fontId="6" fillId="7" borderId="4" xfId="0" applyNumberFormat="1" applyFont="1" applyFill="1" applyBorder="1"/>
    <xf numFmtId="4" fontId="4" fillId="0" borderId="5" xfId="0" applyNumberFormat="1" applyFont="1" applyBorder="1"/>
    <xf numFmtId="2" fontId="10" fillId="0" borderId="0" xfId="0" applyNumberFormat="1" applyFont="1"/>
    <xf numFmtId="4" fontId="4" fillId="0" borderId="3" xfId="0" applyNumberFormat="1" applyFont="1" applyBorder="1"/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4" fontId="4" fillId="0" borderId="6" xfId="0" applyNumberFormat="1" applyFont="1" applyBorder="1"/>
    <xf numFmtId="3" fontId="4" fillId="0" borderId="7" xfId="0" applyNumberFormat="1" applyFont="1" applyBorder="1"/>
    <xf numFmtId="2" fontId="4" fillId="0" borderId="4" xfId="0" applyNumberFormat="1" applyFont="1" applyBorder="1"/>
    <xf numFmtId="0" fontId="11" fillId="0" borderId="0" xfId="0" applyFont="1"/>
    <xf numFmtId="0" fontId="12" fillId="0" borderId="0" xfId="0" applyFont="1"/>
    <xf numFmtId="0" fontId="12" fillId="8" borderId="8" xfId="0" applyFont="1" applyFill="1" applyBorder="1"/>
    <xf numFmtId="0" fontId="12" fillId="8" borderId="0" xfId="0" applyFont="1" applyFill="1"/>
    <xf numFmtId="0" fontId="14" fillId="8" borderId="0" xfId="0" applyFont="1" applyFill="1" applyAlignment="1">
      <alignment horizontal="right"/>
    </xf>
    <xf numFmtId="0" fontId="12" fillId="8" borderId="7" xfId="0" applyFont="1" applyFill="1" applyBorder="1"/>
    <xf numFmtId="0" fontId="15" fillId="8" borderId="0" xfId="0" applyFont="1" applyFill="1" applyAlignment="1">
      <alignment horizontal="right"/>
    </xf>
    <xf numFmtId="0" fontId="15" fillId="6" borderId="0" xfId="0" applyFont="1" applyFill="1" applyAlignment="1">
      <alignment horizontal="center"/>
    </xf>
    <xf numFmtId="0" fontId="16" fillId="8" borderId="0" xfId="0" applyFont="1" applyFill="1"/>
    <xf numFmtId="0" fontId="12" fillId="8" borderId="9" xfId="0" applyFont="1" applyFill="1" applyBorder="1"/>
    <xf numFmtId="0" fontId="12" fillId="8" borderId="10" xfId="0" applyFont="1" applyFill="1" applyBorder="1"/>
    <xf numFmtId="0" fontId="15" fillId="8" borderId="10" xfId="0" applyFont="1" applyFill="1" applyBorder="1" applyAlignment="1">
      <alignment horizontal="right"/>
    </xf>
    <xf numFmtId="0" fontId="15" fillId="6" borderId="10" xfId="0" applyFont="1" applyFill="1" applyBorder="1" applyAlignment="1">
      <alignment horizontal="center"/>
    </xf>
    <xf numFmtId="0" fontId="16" fillId="8" borderId="10" xfId="0" applyFont="1" applyFill="1" applyBorder="1"/>
    <xf numFmtId="0" fontId="12" fillId="8" borderId="11" xfId="0" applyFont="1" applyFill="1" applyBorder="1"/>
    <xf numFmtId="0" fontId="14" fillId="0" borderId="0" xfId="0" applyFont="1" applyAlignment="1">
      <alignment horizontal="right"/>
    </xf>
    <xf numFmtId="0" fontId="6" fillId="6" borderId="12" xfId="0" applyFont="1" applyFill="1" applyBorder="1" applyAlignment="1">
      <alignment horizontal="center" vertical="center" wrapText="1"/>
    </xf>
    <xf numFmtId="3" fontId="6" fillId="7" borderId="13" xfId="0" applyNumberFormat="1" applyFont="1" applyFill="1" applyBorder="1"/>
    <xf numFmtId="3" fontId="6" fillId="7" borderId="7" xfId="0" applyNumberFormat="1" applyFont="1" applyFill="1" applyBorder="1"/>
    <xf numFmtId="0" fontId="6" fillId="6" borderId="14" xfId="0" applyFont="1" applyFill="1" applyBorder="1" applyAlignment="1">
      <alignment horizontal="center" vertical="center" wrapText="1"/>
    </xf>
    <xf numFmtId="4" fontId="6" fillId="7" borderId="15" xfId="0" applyNumberFormat="1" applyFont="1" applyFill="1" applyBorder="1"/>
    <xf numFmtId="4" fontId="6" fillId="7" borderId="16" xfId="0" applyNumberFormat="1" applyFont="1" applyFill="1" applyBorder="1"/>
    <xf numFmtId="4" fontId="4" fillId="0" borderId="17" xfId="0" applyNumberFormat="1" applyFont="1" applyBorder="1"/>
    <xf numFmtId="4" fontId="4" fillId="0" borderId="7" xfId="0" applyNumberFormat="1" applyFont="1" applyBorder="1"/>
    <xf numFmtId="0" fontId="6" fillId="6" borderId="14" xfId="0" applyFont="1" applyFill="1" applyBorder="1" applyAlignment="1">
      <alignment horizontal="center" wrapText="1"/>
    </xf>
    <xf numFmtId="0" fontId="6" fillId="6" borderId="2" xfId="0" applyFont="1" applyFill="1" applyBorder="1" applyAlignment="1">
      <alignment horizontal="center" wrapText="1"/>
    </xf>
    <xf numFmtId="3" fontId="4" fillId="0" borderId="15" xfId="0" applyNumberFormat="1" applyFont="1" applyBorder="1"/>
    <xf numFmtId="3" fontId="4" fillId="0" borderId="17" xfId="0" applyNumberFormat="1" applyFont="1" applyBorder="1"/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4" fontId="6" fillId="7" borderId="20" xfId="0" applyNumberFormat="1" applyFont="1" applyFill="1" applyBorder="1"/>
    <xf numFmtId="4" fontId="6" fillId="7" borderId="21" xfId="0" applyNumberFormat="1" applyFont="1" applyFill="1" applyBorder="1"/>
    <xf numFmtId="3" fontId="6" fillId="7" borderId="22" xfId="0" applyNumberFormat="1" applyFont="1" applyFill="1" applyBorder="1"/>
    <xf numFmtId="4" fontId="6" fillId="7" borderId="23" xfId="0" applyNumberFormat="1" applyFont="1" applyFill="1" applyBorder="1"/>
    <xf numFmtId="3" fontId="6" fillId="7" borderId="23" xfId="0" applyNumberFormat="1" applyFont="1" applyFill="1" applyBorder="1"/>
    <xf numFmtId="3" fontId="6" fillId="7" borderId="24" xfId="0" applyNumberFormat="1" applyFont="1" applyFill="1" applyBorder="1"/>
    <xf numFmtId="4" fontId="6" fillId="7" borderId="25" xfId="0" applyNumberFormat="1" applyFont="1" applyFill="1" applyBorder="1"/>
    <xf numFmtId="4" fontId="6" fillId="7" borderId="26" xfId="0" applyNumberFormat="1" applyFont="1" applyFill="1" applyBorder="1"/>
    <xf numFmtId="0" fontId="6" fillId="6" borderId="27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4" fontId="4" fillId="0" borderId="29" xfId="0" applyNumberFormat="1" applyFont="1" applyBorder="1"/>
    <xf numFmtId="4" fontId="6" fillId="7" borderId="22" xfId="0" applyNumberFormat="1" applyFont="1" applyFill="1" applyBorder="1"/>
    <xf numFmtId="4" fontId="6" fillId="7" borderId="30" xfId="0" applyNumberFormat="1" applyFont="1" applyFill="1" applyBorder="1"/>
    <xf numFmtId="2" fontId="4" fillId="0" borderId="29" xfId="0" applyNumberFormat="1" applyFont="1" applyBorder="1"/>
    <xf numFmtId="2" fontId="6" fillId="7" borderId="23" xfId="0" applyNumberFormat="1" applyFont="1" applyFill="1" applyBorder="1"/>
    <xf numFmtId="2" fontId="6" fillId="7" borderId="30" xfId="0" applyNumberFormat="1" applyFont="1" applyFill="1" applyBorder="1"/>
    <xf numFmtId="4" fontId="4" fillId="0" borderId="20" xfId="0" applyNumberFormat="1" applyFont="1" applyBorder="1"/>
    <xf numFmtId="4" fontId="4" fillId="0" borderId="21" xfId="0" applyNumberFormat="1" applyFont="1" applyBorder="1"/>
    <xf numFmtId="4" fontId="4" fillId="0" borderId="31" xfId="0" applyNumberFormat="1" applyFont="1" applyBorder="1"/>
    <xf numFmtId="3" fontId="4" fillId="0" borderId="32" xfId="0" applyNumberFormat="1" applyFont="1" applyBorder="1"/>
    <xf numFmtId="4" fontId="6" fillId="7" borderId="29" xfId="0" applyNumberFormat="1" applyFont="1" applyFill="1" applyBorder="1"/>
    <xf numFmtId="0" fontId="4" fillId="0" borderId="33" xfId="0" applyFont="1" applyBorder="1"/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4" fillId="0" borderId="34" xfId="0" applyNumberFormat="1" applyFont="1" applyBorder="1" applyAlignment="1">
      <alignment horizontal="left"/>
    </xf>
    <xf numFmtId="0" fontId="4" fillId="0" borderId="35" xfId="0" applyFont="1" applyBorder="1"/>
    <xf numFmtId="0" fontId="4" fillId="0" borderId="36" xfId="0" applyFont="1" applyBorder="1"/>
    <xf numFmtId="4" fontId="4" fillId="9" borderId="32" xfId="0" applyNumberFormat="1" applyFont="1" applyFill="1" applyBorder="1"/>
    <xf numFmtId="4" fontId="4" fillId="9" borderId="37" xfId="0" applyNumberFormat="1" applyFont="1" applyFill="1" applyBorder="1"/>
    <xf numFmtId="3" fontId="4" fillId="9" borderId="11" xfId="0" applyNumberFormat="1" applyFont="1" applyFill="1" applyBorder="1"/>
    <xf numFmtId="4" fontId="4" fillId="9" borderId="5" xfId="0" applyNumberFormat="1" applyFont="1" applyFill="1" applyBorder="1"/>
    <xf numFmtId="3" fontId="4" fillId="9" borderId="5" xfId="0" applyNumberFormat="1" applyFont="1" applyFill="1" applyBorder="1"/>
    <xf numFmtId="4" fontId="4" fillId="9" borderId="29" xfId="0" applyNumberFormat="1" applyFont="1" applyFill="1" applyBorder="1"/>
    <xf numFmtId="4" fontId="4" fillId="0" borderId="38" xfId="0" applyNumberFormat="1" applyFont="1" applyBorder="1"/>
    <xf numFmtId="0" fontId="17" fillId="0" borderId="0" xfId="0" applyFont="1"/>
    <xf numFmtId="4" fontId="17" fillId="0" borderId="0" xfId="0" applyNumberFormat="1" applyFont="1"/>
    <xf numFmtId="2" fontId="18" fillId="0" borderId="0" xfId="0" applyNumberFormat="1" applyFont="1"/>
    <xf numFmtId="164" fontId="4" fillId="0" borderId="39" xfId="0" applyNumberFormat="1" applyFont="1" applyBorder="1"/>
    <xf numFmtId="14" fontId="4" fillId="10" borderId="0" xfId="0" applyNumberFormat="1" applyFont="1" applyFill="1"/>
    <xf numFmtId="14" fontId="0" fillId="0" borderId="0" xfId="0" applyNumberFormat="1"/>
    <xf numFmtId="4" fontId="4" fillId="0" borderId="0" xfId="0" applyNumberFormat="1" applyFont="1" applyAlignment="1">
      <alignment horizontal="right"/>
    </xf>
    <xf numFmtId="4" fontId="4" fillId="0" borderId="4" xfId="0" applyNumberFormat="1" applyFont="1" applyBorder="1" applyAlignment="1">
      <alignment horizontal="right"/>
    </xf>
    <xf numFmtId="4" fontId="4" fillId="0" borderId="72" xfId="0" applyNumberFormat="1" applyFont="1" applyBorder="1"/>
    <xf numFmtId="0" fontId="4" fillId="0" borderId="72" xfId="0" applyFont="1" applyBorder="1"/>
    <xf numFmtId="14" fontId="0" fillId="13" borderId="0" xfId="0" applyNumberFormat="1" applyFill="1"/>
    <xf numFmtId="0" fontId="0" fillId="13" borderId="0" xfId="0" applyFill="1"/>
    <xf numFmtId="0" fontId="6" fillId="7" borderId="33" xfId="0" applyFont="1" applyFill="1" applyBorder="1"/>
    <xf numFmtId="0" fontId="6" fillId="7" borderId="0" xfId="0" applyFont="1" applyFill="1"/>
    <xf numFmtId="0" fontId="4" fillId="0" borderId="10" xfId="0" applyFont="1" applyBorder="1"/>
    <xf numFmtId="0" fontId="6" fillId="7" borderId="68" xfId="0" applyFont="1" applyFill="1" applyBorder="1" applyAlignment="1">
      <alignment horizontal="right"/>
    </xf>
    <xf numFmtId="0" fontId="6" fillId="7" borderId="69" xfId="0" applyFont="1" applyFill="1" applyBorder="1" applyAlignment="1">
      <alignment horizontal="right"/>
    </xf>
    <xf numFmtId="2" fontId="10" fillId="0" borderId="10" xfId="0" applyNumberFormat="1" applyFont="1" applyBorder="1" applyAlignment="1">
      <alignment horizontal="center"/>
    </xf>
    <xf numFmtId="0" fontId="13" fillId="12" borderId="63" xfId="0" applyFont="1" applyFill="1" applyBorder="1" applyAlignment="1">
      <alignment horizontal="center"/>
    </xf>
    <xf numFmtId="0" fontId="13" fillId="12" borderId="55" xfId="0" applyFont="1" applyFill="1" applyBorder="1" applyAlignment="1">
      <alignment horizontal="center"/>
    </xf>
    <xf numFmtId="0" fontId="13" fillId="12" borderId="13" xfId="0" applyFont="1" applyFill="1" applyBorder="1" applyAlignment="1">
      <alignment horizontal="center"/>
    </xf>
    <xf numFmtId="0" fontId="14" fillId="6" borderId="0" xfId="0" applyFont="1" applyFill="1"/>
    <xf numFmtId="0" fontId="6" fillId="6" borderId="45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60" xfId="0" applyFont="1" applyFill="1" applyBorder="1" applyAlignment="1">
      <alignment horizontal="center"/>
    </xf>
    <xf numFmtId="0" fontId="6" fillId="6" borderId="61" xfId="0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6" borderId="28" xfId="0" applyFont="1" applyFill="1" applyBorder="1" applyAlignment="1">
      <alignment horizontal="center"/>
    </xf>
    <xf numFmtId="0" fontId="6" fillId="6" borderId="32" xfId="0" applyFont="1" applyFill="1" applyBorder="1" applyAlignment="1">
      <alignment horizontal="center"/>
    </xf>
    <xf numFmtId="0" fontId="6" fillId="6" borderId="37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6" fillId="7" borderId="64" xfId="0" applyFont="1" applyFill="1" applyBorder="1"/>
    <xf numFmtId="0" fontId="6" fillId="7" borderId="4" xfId="0" applyFont="1" applyFill="1" applyBorder="1"/>
    <xf numFmtId="0" fontId="6" fillId="7" borderId="8" xfId="0" applyFont="1" applyFill="1" applyBorder="1"/>
    <xf numFmtId="0" fontId="6" fillId="6" borderId="27" xfId="0" applyFont="1" applyFill="1" applyBorder="1" applyAlignment="1">
      <alignment horizontal="center" wrapText="1"/>
    </xf>
    <xf numFmtId="0" fontId="6" fillId="6" borderId="18" xfId="0" applyFont="1" applyFill="1" applyBorder="1" applyAlignment="1">
      <alignment horizontal="center" wrapText="1"/>
    </xf>
    <xf numFmtId="0" fontId="6" fillId="6" borderId="28" xfId="0" applyFont="1" applyFill="1" applyBorder="1" applyAlignment="1">
      <alignment horizontal="center" wrapText="1"/>
    </xf>
    <xf numFmtId="0" fontId="4" fillId="0" borderId="0" xfId="0" applyFont="1"/>
    <xf numFmtId="0" fontId="4" fillId="0" borderId="34" xfId="0" applyFont="1" applyBorder="1"/>
    <xf numFmtId="49" fontId="4" fillId="0" borderId="0" xfId="0" applyNumberFormat="1" applyFont="1" applyAlignment="1">
      <alignment horizontal="left"/>
    </xf>
    <xf numFmtId="49" fontId="4" fillId="0" borderId="34" xfId="0" applyNumberFormat="1" applyFont="1" applyBorder="1" applyAlignment="1">
      <alignment horizontal="left"/>
    </xf>
    <xf numFmtId="0" fontId="4" fillId="0" borderId="59" xfId="0" applyFont="1" applyBorder="1"/>
    <xf numFmtId="0" fontId="6" fillId="11" borderId="65" xfId="0" applyFont="1" applyFill="1" applyBorder="1" applyAlignment="1">
      <alignment horizontal="right"/>
    </xf>
    <xf numFmtId="0" fontId="6" fillId="11" borderId="66" xfId="0" applyFont="1" applyFill="1" applyBorder="1" applyAlignment="1">
      <alignment horizontal="right"/>
    </xf>
    <xf numFmtId="0" fontId="6" fillId="11" borderId="67" xfId="0" applyFont="1" applyFill="1" applyBorder="1" applyAlignment="1">
      <alignment horizontal="right"/>
    </xf>
    <xf numFmtId="0" fontId="6" fillId="6" borderId="54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4" fillId="0" borderId="9" xfId="0" applyFont="1" applyBorder="1"/>
    <xf numFmtId="0" fontId="6" fillId="11" borderId="57" xfId="0" applyFont="1" applyFill="1" applyBorder="1" applyAlignment="1">
      <alignment horizontal="right"/>
    </xf>
    <xf numFmtId="0" fontId="6" fillId="11" borderId="25" xfId="0" applyFont="1" applyFill="1" applyBorder="1" applyAlignment="1">
      <alignment horizontal="right"/>
    </xf>
    <xf numFmtId="0" fontId="6" fillId="11" borderId="58" xfId="0" applyFont="1" applyFill="1" applyBorder="1" applyAlignment="1">
      <alignment horizontal="right"/>
    </xf>
    <xf numFmtId="0" fontId="4" fillId="0" borderId="55" xfId="0" applyFont="1" applyBorder="1"/>
    <xf numFmtId="0" fontId="4" fillId="0" borderId="56" xfId="0" applyFont="1" applyBorder="1"/>
    <xf numFmtId="0" fontId="6" fillId="7" borderId="62" xfId="0" applyFont="1" applyFill="1" applyBorder="1"/>
    <xf numFmtId="0" fontId="6" fillId="7" borderId="3" xfId="0" applyFont="1" applyFill="1" applyBorder="1"/>
    <xf numFmtId="0" fontId="6" fillId="7" borderId="63" xfId="0" applyFont="1" applyFill="1" applyBorder="1"/>
    <xf numFmtId="0" fontId="6" fillId="11" borderId="51" xfId="0" applyFont="1" applyFill="1" applyBorder="1" applyAlignment="1">
      <alignment horizontal="right"/>
    </xf>
    <xf numFmtId="0" fontId="6" fillId="11" borderId="23" xfId="0" applyFont="1" applyFill="1" applyBorder="1" applyAlignment="1">
      <alignment horizontal="right"/>
    </xf>
    <xf numFmtId="0" fontId="6" fillId="11" borderId="21" xfId="0" applyFont="1" applyFill="1" applyBorder="1" applyAlignment="1">
      <alignment horizontal="right"/>
    </xf>
    <xf numFmtId="0" fontId="4" fillId="9" borderId="40" xfId="0" applyFont="1" applyFill="1" applyBorder="1" applyAlignment="1">
      <alignment horizontal="left" vertical="top" wrapText="1"/>
    </xf>
    <xf numFmtId="0" fontId="4" fillId="9" borderId="41" xfId="0" applyFont="1" applyFill="1" applyBorder="1" applyAlignment="1">
      <alignment horizontal="left" vertical="top" wrapText="1"/>
    </xf>
    <xf numFmtId="0" fontId="6" fillId="11" borderId="42" xfId="0" applyFont="1" applyFill="1" applyBorder="1" applyAlignment="1">
      <alignment horizontal="right"/>
    </xf>
    <xf numFmtId="0" fontId="6" fillId="11" borderId="43" xfId="0" applyFont="1" applyFill="1" applyBorder="1" applyAlignment="1">
      <alignment horizontal="right"/>
    </xf>
    <xf numFmtId="0" fontId="6" fillId="11" borderId="44" xfId="0" applyFont="1" applyFill="1" applyBorder="1" applyAlignment="1">
      <alignment horizontal="right"/>
    </xf>
    <xf numFmtId="0" fontId="6" fillId="6" borderId="45" xfId="0" applyFont="1" applyFill="1" applyBorder="1" applyAlignment="1">
      <alignment horizontal="center" wrapText="1"/>
    </xf>
    <xf numFmtId="0" fontId="4" fillId="0" borderId="18" xfId="0" applyFont="1" applyBorder="1"/>
    <xf numFmtId="0" fontId="4" fillId="0" borderId="46" xfId="0" applyFont="1" applyBorder="1"/>
    <xf numFmtId="0" fontId="4" fillId="0" borderId="47" xfId="0" applyFont="1" applyBorder="1"/>
    <xf numFmtId="0" fontId="4" fillId="0" borderId="1" xfId="0" applyFont="1" applyBorder="1"/>
    <xf numFmtId="0" fontId="4" fillId="0" borderId="48" xfId="0" applyFont="1" applyBorder="1"/>
    <xf numFmtId="0" fontId="6" fillId="6" borderId="49" xfId="0" applyFont="1" applyFill="1" applyBorder="1" applyAlignment="1">
      <alignment horizontal="center" wrapText="1"/>
    </xf>
    <xf numFmtId="0" fontId="4" fillId="0" borderId="50" xfId="0" applyFont="1" applyBorder="1"/>
    <xf numFmtId="0" fontId="4" fillId="0" borderId="5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6" fillId="6" borderId="53" xfId="0" applyFont="1" applyFill="1" applyBorder="1" applyAlignment="1">
      <alignment horizontal="center" wrapText="1"/>
    </xf>
    <xf numFmtId="0" fontId="6" fillId="6" borderId="54" xfId="0" applyFont="1" applyFill="1" applyBorder="1" applyAlignment="1">
      <alignment horizontal="center" wrapText="1"/>
    </xf>
    <xf numFmtId="164" fontId="4" fillId="0" borderId="70" xfId="0" applyNumberFormat="1" applyFont="1" applyBorder="1" applyAlignment="1">
      <alignment horizontal="left"/>
    </xf>
    <xf numFmtId="164" fontId="4" fillId="0" borderId="71" xfId="0" applyNumberFormat="1" applyFont="1" applyBorder="1" applyAlignment="1">
      <alignment horizontal="left"/>
    </xf>
    <xf numFmtId="49" fontId="20" fillId="0" borderId="0" xfId="0" applyNumberFormat="1" applyFont="1"/>
    <xf numFmtId="49" fontId="20" fillId="13" borderId="0" xfId="0" applyNumberFormat="1" applyFont="1" applyFill="1"/>
    <xf numFmtId="14" fontId="20" fillId="0" borderId="0" xfId="0" applyNumberFormat="1" applyFont="1"/>
    <xf numFmtId="14" fontId="20" fillId="13" borderId="0" xfId="0" applyNumberFormat="1" applyFont="1" applyFill="1"/>
    <xf numFmtId="4" fontId="20" fillId="0" borderId="0" xfId="0" applyNumberFormat="1" applyFont="1"/>
    <xf numFmtId="4" fontId="20" fillId="13" borderId="0" xfId="0" applyNumberFormat="1" applyFont="1" applyFill="1"/>
    <xf numFmtId="4" fontId="20" fillId="0" borderId="72" xfId="0" applyNumberFormat="1" applyFont="1" applyBorder="1"/>
    <xf numFmtId="4" fontId="20" fillId="13" borderId="72" xfId="0" applyNumberFormat="1" applyFont="1" applyFill="1" applyBorder="1"/>
  </cellXfs>
  <cellStyles count="5">
    <cellStyle name="Normal 2" xfId="1" xr:uid="{00000000-0005-0000-0000-000000000000}"/>
    <cellStyle name="Normala" xfId="0" builtinId="0"/>
    <cellStyle name="Normala 2" xfId="2" xr:uid="{00000000-0005-0000-0000-000002000000}"/>
    <cellStyle name="Normala 3" xfId="3" xr:uid="{5748BFFB-F736-43B1-BD76-6B4CC8E83FEA}"/>
    <cellStyle name="Normala 4" xfId="4" xr:uid="{B40CEA09-9196-499D-B2DA-7DB8824D403A}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Orria1"/>
  <dimension ref="A1:I93"/>
  <sheetViews>
    <sheetView tabSelected="1" topLeftCell="A63" zoomScaleNormal="100" workbookViewId="0">
      <selection activeCell="F55" sqref="F55:G55"/>
    </sheetView>
  </sheetViews>
  <sheetFormatPr defaultRowHeight="12.75" customHeight="1" x14ac:dyDescent="0.2"/>
  <cols>
    <col min="1" max="1" width="3.140625" style="2" customWidth="1"/>
    <col min="2" max="2" width="6.140625" style="2" customWidth="1"/>
    <col min="3" max="3" width="34" style="2" bestFit="1" customWidth="1"/>
    <col min="4" max="9" width="13.7109375" style="2" customWidth="1"/>
    <col min="10" max="16384" width="9.140625" style="2"/>
  </cols>
  <sheetData>
    <row r="1" spans="1:9" ht="12.75" customHeight="1" x14ac:dyDescent="0.2">
      <c r="A1" s="120"/>
      <c r="B1" s="120"/>
    </row>
    <row r="2" spans="1:9" s="39" customFormat="1" ht="15.75" customHeight="1" x14ac:dyDescent="0.25">
      <c r="A2" s="121" t="s">
        <v>21</v>
      </c>
      <c r="B2" s="122"/>
      <c r="C2" s="122"/>
      <c r="D2" s="122"/>
      <c r="E2" s="122"/>
      <c r="F2" s="122"/>
      <c r="G2" s="122"/>
      <c r="H2" s="122"/>
      <c r="I2" s="123"/>
    </row>
    <row r="3" spans="1:9" s="39" customFormat="1" ht="15.75" customHeight="1" x14ac:dyDescent="0.25">
      <c r="A3" s="40"/>
      <c r="B3" s="41"/>
      <c r="C3" s="42" t="s">
        <v>4</v>
      </c>
      <c r="D3" s="124" t="s">
        <v>115</v>
      </c>
      <c r="E3" s="124"/>
      <c r="F3" s="124"/>
      <c r="G3" s="124"/>
      <c r="H3" s="41"/>
      <c r="I3" s="43"/>
    </row>
    <row r="4" spans="1:9" s="39" customFormat="1" ht="15.75" customHeight="1" x14ac:dyDescent="0.25">
      <c r="A4" s="40"/>
      <c r="B4" s="41"/>
      <c r="C4" s="44" t="s">
        <v>5</v>
      </c>
      <c r="D4" s="45">
        <v>2023</v>
      </c>
      <c r="E4" s="46"/>
      <c r="F4" s="41"/>
      <c r="G4" s="41"/>
      <c r="H4" s="41"/>
      <c r="I4" s="43"/>
    </row>
    <row r="5" spans="1:9" s="39" customFormat="1" ht="15.75" customHeight="1" x14ac:dyDescent="0.25">
      <c r="A5" s="47"/>
      <c r="B5" s="48"/>
      <c r="C5" s="49" t="s">
        <v>6</v>
      </c>
      <c r="D5" s="50">
        <v>4</v>
      </c>
      <c r="E5" s="51"/>
      <c r="F5" s="48"/>
      <c r="G5" s="48"/>
      <c r="H5" s="48"/>
      <c r="I5" s="52"/>
    </row>
    <row r="6" spans="1:9" ht="12.75" customHeight="1" x14ac:dyDescent="0.2">
      <c r="C6" s="20"/>
      <c r="D6" s="21"/>
      <c r="E6" s="21"/>
    </row>
    <row r="7" spans="1:9" ht="12.75" customHeight="1" x14ac:dyDescent="0.2">
      <c r="C7" s="20"/>
      <c r="D7" s="21"/>
      <c r="E7" s="21"/>
    </row>
    <row r="9" spans="1:9" s="39" customFormat="1" ht="15.75" x14ac:dyDescent="0.25">
      <c r="A9" s="38" t="s">
        <v>28</v>
      </c>
    </row>
    <row r="10" spans="1:9" ht="12.75" customHeight="1" x14ac:dyDescent="0.2">
      <c r="A10" s="4"/>
    </row>
    <row r="11" spans="1:9" ht="12.75" customHeight="1" x14ac:dyDescent="0.2">
      <c r="A11" s="4"/>
    </row>
    <row r="12" spans="1:9" s="19" customFormat="1" ht="13.5" thickBot="1" x14ac:dyDescent="0.25">
      <c r="A12" s="1" t="s">
        <v>29</v>
      </c>
    </row>
    <row r="13" spans="1:9" ht="12.75" customHeight="1" x14ac:dyDescent="0.2">
      <c r="A13" s="125" t="s">
        <v>22</v>
      </c>
      <c r="B13" s="126"/>
      <c r="C13" s="127"/>
      <c r="D13" s="131" t="s">
        <v>33</v>
      </c>
      <c r="E13" s="132"/>
      <c r="F13" s="133" t="s">
        <v>14</v>
      </c>
      <c r="G13" s="134"/>
      <c r="H13" s="134"/>
      <c r="I13" s="135"/>
    </row>
    <row r="14" spans="1:9" ht="12.75" customHeight="1" x14ac:dyDescent="0.2">
      <c r="A14" s="128"/>
      <c r="B14" s="129"/>
      <c r="C14" s="130"/>
      <c r="D14" s="136" t="s">
        <v>46</v>
      </c>
      <c r="E14" s="137"/>
      <c r="F14" s="138" t="s">
        <v>35</v>
      </c>
      <c r="G14" s="139"/>
      <c r="H14" s="139" t="s">
        <v>36</v>
      </c>
      <c r="I14" s="140"/>
    </row>
    <row r="15" spans="1:9" ht="22.5" x14ac:dyDescent="0.2">
      <c r="A15" s="128"/>
      <c r="B15" s="129"/>
      <c r="C15" s="130"/>
      <c r="D15" s="57" t="s">
        <v>11</v>
      </c>
      <c r="E15" s="23" t="s">
        <v>34</v>
      </c>
      <c r="F15" s="54" t="s">
        <v>12</v>
      </c>
      <c r="G15" s="22" t="s">
        <v>13</v>
      </c>
      <c r="H15" s="22" t="s">
        <v>12</v>
      </c>
      <c r="I15" s="67" t="s">
        <v>13</v>
      </c>
    </row>
    <row r="16" spans="1:9" ht="12.75" customHeight="1" x14ac:dyDescent="0.2">
      <c r="A16" s="115" t="s">
        <v>18</v>
      </c>
      <c r="B16" s="116"/>
      <c r="C16" s="116"/>
      <c r="D16" s="58" t="e">
        <f>IF(G16+I16=0,0,(D17*(G18+I17)+D18*(#REF!+I18)+D19*(G19+I19)+D20*(G20+I20)+D21*(G21+I21))/(G16+I16))</f>
        <v>#REF!</v>
      </c>
      <c r="E16" s="59">
        <f>IF(I16=0,0,(E17*I17+E18*I18+E19*I19+E20*I20+E21*I21)/I16)</f>
        <v>0</v>
      </c>
      <c r="F16" s="55">
        <f>SUM(F17:F21)</f>
        <v>246</v>
      </c>
      <c r="G16" s="24">
        <f>SUM(G17:G21)</f>
        <v>225299.41000000003</v>
      </c>
      <c r="H16" s="25">
        <f>SUM(H17:H21)</f>
        <v>0</v>
      </c>
      <c r="I16" s="88">
        <f>SUM(I17:I21)</f>
        <v>0</v>
      </c>
    </row>
    <row r="17" spans="1:9" ht="12.75" customHeight="1" x14ac:dyDescent="0.2">
      <c r="A17" s="89"/>
      <c r="B17" s="90" t="s">
        <v>0</v>
      </c>
      <c r="C17" s="2" t="s">
        <v>7</v>
      </c>
      <c r="D17" s="60"/>
      <c r="E17" s="35">
        <f>IF(H17=0,0,SUMIF(xehet1!V:V,220,xehet1!T:T)/SUMIF(xehet1!V:V,220,xehet1!D:D))</f>
        <v>0</v>
      </c>
      <c r="F17" s="36">
        <f>+xehet1!F280</f>
        <v>17</v>
      </c>
      <c r="G17" s="109">
        <f>+xehet1!D280</f>
        <v>17302.759999999998</v>
      </c>
      <c r="H17" s="27">
        <f>COUNTIF(xehet1!V:V,220)</f>
        <v>0</v>
      </c>
      <c r="I17" s="78">
        <f>SUMIF(xehet1!V:V,220,xehet1!D:D)</f>
        <v>0</v>
      </c>
    </row>
    <row r="18" spans="1:9" ht="12.75" customHeight="1" x14ac:dyDescent="0.2">
      <c r="A18" s="89"/>
      <c r="B18" s="90" t="s">
        <v>1</v>
      </c>
      <c r="C18" s="2" t="s">
        <v>19</v>
      </c>
      <c r="D18" s="60"/>
      <c r="E18" s="35">
        <f>IF(H18=0,0,SUMIF(xehet1!V:V,221,xehet1!T:T)/SUMIF(xehet1!V:V,221,xehet1!D:D))</f>
        <v>0</v>
      </c>
      <c r="F18" s="36">
        <f>+xehet1!F281</f>
        <v>28</v>
      </c>
      <c r="G18" s="110">
        <f>+xehet1!D281</f>
        <v>10066.07</v>
      </c>
      <c r="H18" s="27">
        <f>COUNTIF(xehet1!V:V,221)</f>
        <v>0</v>
      </c>
      <c r="I18" s="78">
        <f>SUMIF(xehet1!V:V,221,xehet1!D:D)</f>
        <v>0</v>
      </c>
    </row>
    <row r="19" spans="1:9" ht="12.75" customHeight="1" x14ac:dyDescent="0.2">
      <c r="A19" s="89"/>
      <c r="B19" s="90" t="s">
        <v>2</v>
      </c>
      <c r="C19" s="2" t="s">
        <v>8</v>
      </c>
      <c r="D19" s="60"/>
      <c r="E19" s="35">
        <f>IF(H19=0,0,SUMIF(xehet1!V:V,222,xehet1!T:T)/SUMIF(xehet1!V:V,222,xehet1!D:D))</f>
        <v>0</v>
      </c>
      <c r="F19" s="36">
        <f>+xehet1!F282</f>
        <v>32</v>
      </c>
      <c r="G19" s="26">
        <f>+xehet1!D282</f>
        <v>36214.969999999994</v>
      </c>
      <c r="H19" s="27">
        <f>COUNTIF(xehet1!V:V,222)</f>
        <v>0</v>
      </c>
      <c r="I19" s="78">
        <f>SUMIF(xehet1!V:V,222,xehet1!D:D)</f>
        <v>0</v>
      </c>
    </row>
    <row r="20" spans="1:9" ht="12.75" customHeight="1" x14ac:dyDescent="0.2">
      <c r="A20" s="89"/>
      <c r="B20" s="90" t="s">
        <v>3</v>
      </c>
      <c r="C20" s="2" t="s">
        <v>9</v>
      </c>
      <c r="D20" s="60"/>
      <c r="E20" s="35">
        <f>IF(H20=0,0,SUMIF(xehet1!V:V,223,xehet1!T:T)/SUMIF(xehet1!V:V,223,xehet1!D:D))</f>
        <v>0</v>
      </c>
      <c r="F20" s="36"/>
      <c r="G20" s="26"/>
      <c r="H20" s="27">
        <f>COUNTIF(xehet1!V:V,223)</f>
        <v>0</v>
      </c>
      <c r="I20" s="78">
        <f>SUMIF(xehet1!V:V,223,xehet1!D:D)</f>
        <v>0</v>
      </c>
    </row>
    <row r="21" spans="1:9" ht="12.75" customHeight="1" x14ac:dyDescent="0.2">
      <c r="A21" s="89"/>
      <c r="B21" s="90" t="s">
        <v>24</v>
      </c>
      <c r="C21" s="2" t="s">
        <v>23</v>
      </c>
      <c r="D21" s="60"/>
      <c r="E21" s="35">
        <f>IF(H21=0,0,SUMIF(xehet1!V:V,229,xehet1!T:T)/SUMIF(xehet1!V:V,229,xehet1!D:D))</f>
        <v>0</v>
      </c>
      <c r="F21" s="36">
        <f>+xehet1!F283</f>
        <v>169</v>
      </c>
      <c r="G21" s="26">
        <f>+xehet1!D283</f>
        <v>161715.61000000004</v>
      </c>
      <c r="H21" s="27">
        <f>COUNTIF(xehet1!V:V,229)</f>
        <v>0</v>
      </c>
      <c r="I21" s="78">
        <f>SUMIF(xehet1!V:V,229,xehet1!D:D)</f>
        <v>0</v>
      </c>
    </row>
    <row r="22" spans="1:9" ht="12.75" customHeight="1" x14ac:dyDescent="0.2">
      <c r="A22" s="115" t="s">
        <v>10</v>
      </c>
      <c r="B22" s="116"/>
      <c r="C22" s="116"/>
      <c r="D22" s="58">
        <f t="shared" ref="D22:I22" si="0">D23</f>
        <v>0</v>
      </c>
      <c r="E22" s="59">
        <f t="shared" si="0"/>
        <v>0</v>
      </c>
      <c r="F22" s="56">
        <f t="shared" si="0"/>
        <v>22</v>
      </c>
      <c r="G22" s="29">
        <f>+G23</f>
        <v>724300.62</v>
      </c>
      <c r="H22" s="28">
        <f t="shared" si="0"/>
        <v>0</v>
      </c>
      <c r="I22" s="88">
        <f t="shared" si="0"/>
        <v>0</v>
      </c>
    </row>
    <row r="23" spans="1:9" ht="12.75" customHeight="1" x14ac:dyDescent="0.2">
      <c r="A23" s="89"/>
      <c r="B23" s="91" t="s">
        <v>26</v>
      </c>
      <c r="C23" s="2" t="s">
        <v>27</v>
      </c>
      <c r="D23" s="60"/>
      <c r="E23" s="35">
        <f>IF(H23=0,0,SUMIF(xehet1!V:V,269,xehet1!T:T)/SUMIF(xehet1!V:V,269,xehet1!D:D))</f>
        <v>0</v>
      </c>
      <c r="F23" s="36">
        <f>+xehet1!F284</f>
        <v>22</v>
      </c>
      <c r="G23" s="26">
        <f>+xehet1!D284</f>
        <v>724300.62</v>
      </c>
      <c r="H23" s="27">
        <f>COUNTIF(xehet1!V:V,269)</f>
        <v>0</v>
      </c>
      <c r="I23" s="78">
        <f>SUMIF(xehet1!V:V,269,xehet1!D:D)</f>
        <v>0</v>
      </c>
    </row>
    <row r="24" spans="1:9" ht="12.75" customHeight="1" x14ac:dyDescent="0.2">
      <c r="A24" s="115" t="s">
        <v>66</v>
      </c>
      <c r="B24" s="116"/>
      <c r="C24" s="116"/>
      <c r="D24" s="58">
        <f t="shared" ref="D24:I24" si="1">D25</f>
        <v>0</v>
      </c>
      <c r="E24" s="59">
        <f t="shared" si="1"/>
        <v>0</v>
      </c>
      <c r="F24" s="56">
        <f t="shared" si="1"/>
        <v>0</v>
      </c>
      <c r="G24" s="29">
        <f t="shared" si="1"/>
        <v>0</v>
      </c>
      <c r="H24" s="28">
        <f t="shared" si="1"/>
        <v>0</v>
      </c>
      <c r="I24" s="88">
        <f t="shared" si="1"/>
        <v>0</v>
      </c>
    </row>
    <row r="25" spans="1:9" ht="12.75" customHeight="1" x14ac:dyDescent="0.2">
      <c r="A25" s="89"/>
      <c r="B25" s="117" t="s">
        <v>25</v>
      </c>
      <c r="C25" s="117"/>
      <c r="D25" s="96"/>
      <c r="E25" s="97"/>
      <c r="F25" s="98"/>
      <c r="G25" s="99"/>
      <c r="H25" s="100"/>
      <c r="I25" s="101"/>
    </row>
    <row r="26" spans="1:9" ht="12.75" customHeight="1" thickBot="1" x14ac:dyDescent="0.25">
      <c r="A26" s="118" t="s">
        <v>11</v>
      </c>
      <c r="B26" s="119"/>
      <c r="C26" s="119"/>
      <c r="D26" s="68"/>
      <c r="E26" s="69">
        <f>IF(I26=0,0,(E16*I16+E22*I22+E24*I24)/I26)</f>
        <v>0</v>
      </c>
      <c r="F26" s="70">
        <f>+F22+F16</f>
        <v>268</v>
      </c>
      <c r="G26" s="71">
        <f>+G22+G16</f>
        <v>949600.03</v>
      </c>
      <c r="H26" s="72">
        <f>H16+H22+H24</f>
        <v>0</v>
      </c>
      <c r="I26" s="75">
        <f>I16+I22+I24</f>
        <v>0</v>
      </c>
    </row>
    <row r="27" spans="1:9" ht="12.75" customHeight="1" x14ac:dyDescent="0.2">
      <c r="A27" s="2" t="s">
        <v>68</v>
      </c>
      <c r="D27" s="31"/>
      <c r="E27" s="31">
        <f>IF(SUMIF(xehet1!V:V,"&gt;199",xehet1!D:D)=0,0,SUMIF(xehet1!V:V,"&gt;199",xehet1!T:T)/SUMIF(xehet1!V:V,"&gt;199",xehet1!D:D))-IF(I16+I22=0,0,(E16*I16+E22*I22)/(I16+I22))</f>
        <v>0</v>
      </c>
      <c r="F27" s="31"/>
      <c r="G27" s="31"/>
      <c r="H27" s="31">
        <f>COUNTIF(xehet1!Q:Q,"&gt;30")-H26+H25</f>
        <v>0</v>
      </c>
      <c r="I27" s="31">
        <f>SUMIF(xehet1!Q:Q,"&gt;30",xehet1!D:D)-I26+I25</f>
        <v>0</v>
      </c>
    </row>
    <row r="30" spans="1:9" ht="13.5" thickBot="1" x14ac:dyDescent="0.25">
      <c r="A30" s="1" t="s">
        <v>30</v>
      </c>
    </row>
    <row r="31" spans="1:9" ht="12.75" customHeight="1" x14ac:dyDescent="0.2">
      <c r="A31" s="125" t="s">
        <v>56</v>
      </c>
      <c r="B31" s="126"/>
      <c r="C31" s="155"/>
      <c r="D31" s="144" t="s">
        <v>57</v>
      </c>
      <c r="E31" s="145"/>
      <c r="F31" s="145"/>
      <c r="G31" s="146"/>
    </row>
    <row r="32" spans="1:9" ht="12.75" customHeight="1" x14ac:dyDescent="0.2">
      <c r="A32" s="128"/>
      <c r="B32" s="129"/>
      <c r="C32" s="156"/>
      <c r="D32" s="54" t="s">
        <v>58</v>
      </c>
      <c r="E32" s="22" t="s">
        <v>59</v>
      </c>
      <c r="F32" s="22" t="s">
        <v>13</v>
      </c>
      <c r="G32" s="67" t="s">
        <v>59</v>
      </c>
    </row>
    <row r="33" spans="1:9" ht="12.75" customHeight="1" x14ac:dyDescent="0.2">
      <c r="A33" s="89"/>
      <c r="B33" s="147" t="s">
        <v>39</v>
      </c>
      <c r="C33" s="148"/>
      <c r="D33" s="64"/>
      <c r="E33" s="26">
        <f>IF($D$38=0,0,D33*100/$D$38)</f>
        <v>0</v>
      </c>
      <c r="F33" s="32">
        <f>+xehet1!D285</f>
        <v>949600.03</v>
      </c>
      <c r="G33" s="102">
        <f>IF($F$38=0,0,F33*100/$F$38)</f>
        <v>100</v>
      </c>
    </row>
    <row r="34" spans="1:9" ht="12.75" customHeight="1" x14ac:dyDescent="0.2">
      <c r="A34" s="89"/>
      <c r="B34" s="149" t="s">
        <v>60</v>
      </c>
      <c r="C34" s="150"/>
      <c r="D34" s="65"/>
      <c r="E34" s="26">
        <f>IF($D$38=0,0,D34*100/$D$38)</f>
        <v>0</v>
      </c>
      <c r="F34" s="26"/>
      <c r="G34" s="78">
        <f>IF($F$38=0,0,F34*100/$F$38)</f>
        <v>0</v>
      </c>
    </row>
    <row r="35" spans="1:9" ht="12.75" customHeight="1" x14ac:dyDescent="0.2">
      <c r="A35" s="89"/>
      <c r="B35" s="92" t="s">
        <v>61</v>
      </c>
      <c r="C35" s="93"/>
      <c r="D35" s="65"/>
      <c r="E35" s="26">
        <f>IF($D$38=0,0,D35*100/$D$38)</f>
        <v>0</v>
      </c>
      <c r="F35" s="26"/>
      <c r="G35" s="78">
        <f>IF($F$38=0,0,F35*100/$F$38)</f>
        <v>0</v>
      </c>
    </row>
    <row r="36" spans="1:9" ht="12.75" customHeight="1" x14ac:dyDescent="0.2">
      <c r="A36" s="89"/>
      <c r="B36" s="147" t="s">
        <v>62</v>
      </c>
      <c r="C36" s="148"/>
      <c r="D36" s="65"/>
      <c r="E36" s="26">
        <f>IF($D$38=0,0,D36*100/$D$38)</f>
        <v>0</v>
      </c>
      <c r="F36" s="26"/>
      <c r="G36" s="78">
        <f>IF($F$38=0,0,F36*100/$F$38)</f>
        <v>0</v>
      </c>
    </row>
    <row r="37" spans="1:9" ht="12.75" customHeight="1" x14ac:dyDescent="0.2">
      <c r="A37" s="94"/>
      <c r="B37" s="117" t="s">
        <v>63</v>
      </c>
      <c r="C37" s="151"/>
      <c r="D37" s="87"/>
      <c r="E37" s="26">
        <f>IF($D$38=0,0,D37*100/$D$38)</f>
        <v>0</v>
      </c>
      <c r="F37" s="30">
        <f>SUMIF(xehet1!Q:Q,"&gt;60",xehet1!D:D)+IF(E25&gt;60,I25)</f>
        <v>0</v>
      </c>
      <c r="G37" s="78">
        <f>IF($F$38=0,0,F37*100/$F$38)</f>
        <v>0</v>
      </c>
    </row>
    <row r="38" spans="1:9" ht="12.75" customHeight="1" thickBot="1" x14ac:dyDescent="0.25">
      <c r="A38" s="152" t="s">
        <v>11</v>
      </c>
      <c r="B38" s="153"/>
      <c r="C38" s="154"/>
      <c r="D38" s="73">
        <f>SUM(D33:D37)</f>
        <v>0</v>
      </c>
      <c r="E38" s="74">
        <f>SUM(E33:E37)</f>
        <v>0</v>
      </c>
      <c r="F38" s="74">
        <f>SUM(F33:F37)</f>
        <v>949600.03</v>
      </c>
      <c r="G38" s="75">
        <f>SUM(G33:G37)</f>
        <v>100</v>
      </c>
    </row>
    <row r="39" spans="1:9" ht="12.75" customHeight="1" x14ac:dyDescent="0.2">
      <c r="A39" s="33"/>
      <c r="B39" s="33"/>
      <c r="C39" s="33"/>
      <c r="D39" s="31"/>
      <c r="E39" s="31"/>
      <c r="F39" s="31"/>
    </row>
    <row r="40" spans="1:9" ht="12.75" customHeight="1" x14ac:dyDescent="0.2">
      <c r="A40" s="33"/>
      <c r="B40" s="33"/>
      <c r="C40" s="33"/>
      <c r="D40" s="31"/>
      <c r="E40" s="31"/>
      <c r="F40" s="31"/>
    </row>
    <row r="41" spans="1:9" ht="12.75" customHeight="1" x14ac:dyDescent="0.2">
      <c r="A41" s="33"/>
      <c r="B41" s="33"/>
      <c r="C41" s="33"/>
    </row>
    <row r="42" spans="1:9" s="39" customFormat="1" ht="15.75" x14ac:dyDescent="0.25">
      <c r="A42" s="38" t="s">
        <v>37</v>
      </c>
    </row>
    <row r="43" spans="1:9" ht="12.75" customHeight="1" x14ac:dyDescent="0.2">
      <c r="A43" s="4"/>
    </row>
    <row r="44" spans="1:9" ht="12.75" customHeight="1" thickBot="1" x14ac:dyDescent="0.25">
      <c r="A44" s="4"/>
    </row>
    <row r="45" spans="1:9" ht="12.75" customHeight="1" x14ac:dyDescent="0.2">
      <c r="A45" s="125" t="s">
        <v>32</v>
      </c>
      <c r="B45" s="126"/>
      <c r="C45" s="127"/>
      <c r="D45" s="131" t="s">
        <v>43</v>
      </c>
      <c r="E45" s="132"/>
      <c r="F45" s="133" t="s">
        <v>16</v>
      </c>
      <c r="G45" s="134"/>
      <c r="H45" s="134"/>
      <c r="I45" s="135"/>
    </row>
    <row r="46" spans="1:9" ht="12.75" customHeight="1" x14ac:dyDescent="0.2">
      <c r="A46" s="128"/>
      <c r="B46" s="129"/>
      <c r="C46" s="130"/>
      <c r="D46" s="136" t="s">
        <v>46</v>
      </c>
      <c r="E46" s="137"/>
      <c r="F46" s="138" t="s">
        <v>35</v>
      </c>
      <c r="G46" s="139"/>
      <c r="H46" s="139" t="s">
        <v>36</v>
      </c>
      <c r="I46" s="140"/>
    </row>
    <row r="47" spans="1:9" ht="22.5" x14ac:dyDescent="0.2">
      <c r="A47" s="128"/>
      <c r="B47" s="129"/>
      <c r="C47" s="130"/>
      <c r="D47" s="57" t="s">
        <v>11</v>
      </c>
      <c r="E47" s="23" t="s">
        <v>34</v>
      </c>
      <c r="F47" s="54" t="s">
        <v>15</v>
      </c>
      <c r="G47" s="22" t="s">
        <v>13</v>
      </c>
      <c r="H47" s="22" t="s">
        <v>15</v>
      </c>
      <c r="I47" s="67" t="s">
        <v>13</v>
      </c>
    </row>
    <row r="48" spans="1:9" ht="12.75" customHeight="1" x14ac:dyDescent="0.2">
      <c r="A48" s="164" t="s">
        <v>18</v>
      </c>
      <c r="B48" s="165"/>
      <c r="C48" s="166"/>
      <c r="D48" s="58">
        <f>SUM(D49:D53)</f>
        <v>0</v>
      </c>
      <c r="E48" s="59">
        <f>IF(I48=0,0,(E49*I49+E50*I50+E51*I51+E52*I52+E53*I53)/I48)</f>
        <v>0</v>
      </c>
      <c r="F48" s="55">
        <f>SUM(F49:F53)</f>
        <v>62</v>
      </c>
      <c r="G48" s="24">
        <f>SUM(G49:G53)</f>
        <v>55145.930000000008</v>
      </c>
      <c r="H48" s="25">
        <f>SUM(H49:H53)</f>
        <v>0</v>
      </c>
      <c r="I48" s="88">
        <f>SUM(I49:I53)</f>
        <v>0</v>
      </c>
    </row>
    <row r="49" spans="1:9" ht="12.75" customHeight="1" x14ac:dyDescent="0.2">
      <c r="A49" s="89"/>
      <c r="B49" s="90" t="s">
        <v>0</v>
      </c>
      <c r="C49" s="2" t="s">
        <v>7</v>
      </c>
      <c r="D49" s="60"/>
      <c r="E49" s="35">
        <f>IF(H49=0,0,SUMIF(xehet2!V:V,220,xehet2!T:T)/SUMIF(xehet2!V:V,220,xehet2!D:D))</f>
        <v>0</v>
      </c>
      <c r="F49" s="36">
        <f>+xehet2!F79</f>
        <v>2</v>
      </c>
      <c r="G49" s="26">
        <f>+xehet2!D79</f>
        <v>2305.39</v>
      </c>
      <c r="H49" s="27">
        <f>COUNTIF(xehet2!V:V,220)</f>
        <v>0</v>
      </c>
      <c r="I49" s="78">
        <f>SUMIF(xehet2!V:V,220,xehet2!D:D)</f>
        <v>0</v>
      </c>
    </row>
    <row r="50" spans="1:9" ht="12.75" customHeight="1" x14ac:dyDescent="0.2">
      <c r="A50" s="89"/>
      <c r="B50" s="90" t="s">
        <v>1</v>
      </c>
      <c r="C50" s="2" t="s">
        <v>88</v>
      </c>
      <c r="D50" s="60"/>
      <c r="E50" s="35">
        <f>IF(H50=0,0,SUMIF(xehet2!V:V,221,xehet2!T:T)/SUMIF(xehet2!V:V,221,xehet2!D:D))</f>
        <v>0</v>
      </c>
      <c r="F50" s="36">
        <f>+xehet2!F80</f>
        <v>5</v>
      </c>
      <c r="G50" s="26">
        <f>+xehet2!D80</f>
        <v>4831.21</v>
      </c>
      <c r="H50" s="27">
        <f>COUNTIF(xehet2!V:V,221)</f>
        <v>0</v>
      </c>
      <c r="I50" s="78">
        <f>SUMIF(xehet2!V:V,221,xehet2!D:D)</f>
        <v>0</v>
      </c>
    </row>
    <row r="51" spans="1:9" ht="12.75" customHeight="1" x14ac:dyDescent="0.2">
      <c r="A51" s="89"/>
      <c r="B51" s="90" t="s">
        <v>2</v>
      </c>
      <c r="C51" s="2" t="s">
        <v>89</v>
      </c>
      <c r="D51" s="60"/>
      <c r="E51" s="35">
        <f>IF(H51=0,0,SUMIF(xehet2!V:V,222,xehet2!T:T)/SUMIF(xehet2!V:V,222,xehet2!D:D))</f>
        <v>0</v>
      </c>
      <c r="F51" s="36">
        <f>+xehet2!F81</f>
        <v>6</v>
      </c>
      <c r="G51" s="26">
        <f>+xehet2!D81</f>
        <v>2616.7000000000003</v>
      </c>
      <c r="H51" s="27">
        <f>COUNTIF(xehet2!V:V,222)</f>
        <v>0</v>
      </c>
      <c r="I51" s="78">
        <f>SUMIF(xehet2!V:V,222,xehet2!D:D)</f>
        <v>0</v>
      </c>
    </row>
    <row r="52" spans="1:9" ht="12.75" customHeight="1" x14ac:dyDescent="0.2">
      <c r="A52" s="89"/>
      <c r="B52" s="90" t="s">
        <v>3</v>
      </c>
      <c r="C52" s="2" t="s">
        <v>90</v>
      </c>
      <c r="D52" s="60"/>
      <c r="E52" s="35">
        <f>IF(H52=0,0,SUMIF(xehet2!V:V,223,xehet2!T:T)/SUMIF(xehet2!V:V,223,xehet2!D:D))</f>
        <v>0</v>
      </c>
      <c r="F52" s="36"/>
      <c r="G52" s="26"/>
      <c r="H52" s="27">
        <f>COUNTIF(xehet2!V:V,223)</f>
        <v>0</v>
      </c>
      <c r="I52" s="78">
        <f>SUMIF(xehet2!V:V,223,xehet2!D:D)</f>
        <v>0</v>
      </c>
    </row>
    <row r="53" spans="1:9" ht="12.75" customHeight="1" x14ac:dyDescent="0.2">
      <c r="A53" s="89"/>
      <c r="B53" s="90" t="s">
        <v>24</v>
      </c>
      <c r="C53" s="2" t="s">
        <v>23</v>
      </c>
      <c r="D53" s="60"/>
      <c r="E53" s="35">
        <f>IF(H53=0,0,SUMIF(xehet2!V:V,229,xehet2!T:T)/SUMIF(xehet2!V:V,229,xehet2!D:D))</f>
        <v>0</v>
      </c>
      <c r="F53" s="36">
        <f>+xehet2!F82</f>
        <v>49</v>
      </c>
      <c r="G53" s="26">
        <f>+xehet2!D82</f>
        <v>45392.630000000005</v>
      </c>
      <c r="H53" s="27">
        <f>COUNTIF(xehet2!V:V,229)</f>
        <v>0</v>
      </c>
      <c r="I53" s="78">
        <f>SUMIF(xehet2!V:V,229,xehet2!D:D)</f>
        <v>0</v>
      </c>
    </row>
    <row r="54" spans="1:9" ht="12.75" customHeight="1" x14ac:dyDescent="0.2">
      <c r="A54" s="115" t="s">
        <v>10</v>
      </c>
      <c r="B54" s="116"/>
      <c r="C54" s="116"/>
      <c r="D54" s="58">
        <f>SUM(D55)</f>
        <v>0</v>
      </c>
      <c r="E54" s="59">
        <f>E55</f>
        <v>0</v>
      </c>
      <c r="F54" s="56">
        <f>SUM(F55)</f>
        <v>5</v>
      </c>
      <c r="G54" s="29">
        <f>SUM(G55)</f>
        <v>28658.969999999998</v>
      </c>
      <c r="H54" s="28">
        <f>H55</f>
        <v>0</v>
      </c>
      <c r="I54" s="88">
        <f>I55</f>
        <v>0</v>
      </c>
    </row>
    <row r="55" spans="1:9" ht="12.75" customHeight="1" x14ac:dyDescent="0.2">
      <c r="A55" s="89"/>
      <c r="B55" s="91" t="s">
        <v>26</v>
      </c>
      <c r="C55" s="2" t="s">
        <v>27</v>
      </c>
      <c r="D55" s="60">
        <v>0</v>
      </c>
      <c r="E55" s="35">
        <f>IF(H55=0,0,SUMIF(xehet2!V:V,269,xehet2!T:T)/SUMIF(xehet2!V:V,269,xehet2!D:D))</f>
        <v>0</v>
      </c>
      <c r="F55" s="36">
        <f>+xehet2!F83</f>
        <v>5</v>
      </c>
      <c r="G55" s="26">
        <f>+xehet2!D83</f>
        <v>28658.969999999998</v>
      </c>
      <c r="H55" s="27">
        <f>COUNTIF(xehet2!V:V,269)</f>
        <v>0</v>
      </c>
      <c r="I55" s="78">
        <f>SUMIF(xehet2!V:V,269,xehet2!D:D)</f>
        <v>0</v>
      </c>
    </row>
    <row r="56" spans="1:9" ht="12.75" customHeight="1" x14ac:dyDescent="0.2">
      <c r="A56" s="141" t="s">
        <v>67</v>
      </c>
      <c r="B56" s="142"/>
      <c r="C56" s="143"/>
      <c r="D56" s="58">
        <f t="shared" ref="D56:I56" si="2">D57</f>
        <v>0</v>
      </c>
      <c r="E56" s="59">
        <f t="shared" si="2"/>
        <v>0</v>
      </c>
      <c r="F56" s="56">
        <f>F57</f>
        <v>0</v>
      </c>
      <c r="G56" s="29">
        <f t="shared" si="2"/>
        <v>0</v>
      </c>
      <c r="H56" s="28">
        <f t="shared" si="2"/>
        <v>0</v>
      </c>
      <c r="I56" s="88">
        <f t="shared" si="2"/>
        <v>0</v>
      </c>
    </row>
    <row r="57" spans="1:9" ht="12.75" customHeight="1" x14ac:dyDescent="0.2">
      <c r="A57" s="89"/>
      <c r="B57" s="157" t="s">
        <v>20</v>
      </c>
      <c r="C57" s="158"/>
      <c r="D57" s="96"/>
      <c r="E57" s="97"/>
      <c r="F57" s="98"/>
      <c r="G57" s="99"/>
      <c r="H57" s="100"/>
      <c r="I57" s="101"/>
    </row>
    <row r="58" spans="1:9" ht="12.75" customHeight="1" thickBot="1" x14ac:dyDescent="0.25">
      <c r="A58" s="159" t="s">
        <v>11</v>
      </c>
      <c r="B58" s="160"/>
      <c r="C58" s="161"/>
      <c r="D58" s="68">
        <f>+D56+D54+D48</f>
        <v>0</v>
      </c>
      <c r="E58" s="69">
        <f>IF(I58=0,0,(E48*I48+E54*I54+E56*I56)/I58)</f>
        <v>0</v>
      </c>
      <c r="F58" s="70">
        <f>+F56+F54+F48</f>
        <v>67</v>
      </c>
      <c r="G58" s="71">
        <f>+G56+G54+G48</f>
        <v>83804.900000000009</v>
      </c>
      <c r="H58" s="72">
        <f>H48+H54+H56</f>
        <v>0</v>
      </c>
      <c r="I58" s="75">
        <f>I48+I54+I56</f>
        <v>0</v>
      </c>
    </row>
    <row r="59" spans="1:9" ht="12.75" customHeight="1" x14ac:dyDescent="0.2">
      <c r="A59" s="2" t="s">
        <v>68</v>
      </c>
      <c r="D59" s="31">
        <f>+D58</f>
        <v>0</v>
      </c>
      <c r="E59" s="31">
        <f>IF(SUMIF(xehet2!V:V,"&gt;199",xehet2!D:D)=0,0,SUMIF(xehet2!V:V,"&gt;199",xehet2!T:T)/SUMIF(xehet2!V:V,"&gt;199",xehet2!D:D))-IF(I48+I54=0,0,(E48*I48+E54*I54)/(I48+I54))</f>
        <v>0</v>
      </c>
      <c r="F59" s="31"/>
      <c r="G59" s="31"/>
      <c r="H59" s="31"/>
      <c r="I59" s="31"/>
    </row>
    <row r="63" spans="1:9" s="39" customFormat="1" ht="15.75" x14ac:dyDescent="0.25">
      <c r="A63" s="38" t="s">
        <v>64</v>
      </c>
    </row>
    <row r="64" spans="1:9" ht="12.75" customHeight="1" x14ac:dyDescent="0.2">
      <c r="A64" s="4"/>
    </row>
    <row r="65" spans="1:7" ht="12.75" customHeight="1" x14ac:dyDescent="0.2">
      <c r="A65" s="4"/>
    </row>
    <row r="66" spans="1:7" s="19" customFormat="1" ht="13.5" thickBot="1" x14ac:dyDescent="0.25">
      <c r="A66" s="1" t="s">
        <v>38</v>
      </c>
    </row>
    <row r="67" spans="1:7" ht="33.75" x14ac:dyDescent="0.2">
      <c r="A67" s="125" t="s">
        <v>31</v>
      </c>
      <c r="B67" s="126"/>
      <c r="C67" s="155"/>
      <c r="D67" s="76" t="s">
        <v>45</v>
      </c>
      <c r="E67" s="66" t="s">
        <v>17</v>
      </c>
      <c r="F67" s="77" t="s">
        <v>13</v>
      </c>
      <c r="G67" s="34"/>
    </row>
    <row r="68" spans="1:7" ht="12.75" customHeight="1" x14ac:dyDescent="0.2">
      <c r="A68" s="95"/>
      <c r="B68" s="162" t="s">
        <v>18</v>
      </c>
      <c r="C68" s="163"/>
      <c r="D68" s="61">
        <f>IF(E68=0,0,SUMIF(xehet32!T:T,22,xehet32!R:R)/SUMIF(xehet32!T:T,22,xehet32!D:D))</f>
        <v>0</v>
      </c>
      <c r="E68" s="27">
        <f>COUNTIF(xehet32!T:T,22)</f>
        <v>0</v>
      </c>
      <c r="F68" s="78">
        <f>SUMIF(xehet32!T:T,22,xehet32!D:D)</f>
        <v>0</v>
      </c>
    </row>
    <row r="69" spans="1:7" ht="12.75" customHeight="1" x14ac:dyDescent="0.2">
      <c r="A69" s="89"/>
      <c r="B69" s="149" t="s">
        <v>10</v>
      </c>
      <c r="C69" s="150"/>
      <c r="D69" s="61">
        <f>IF(E69=0,0,SUMIF(xehet32!T:T,26,xehet32!R:R)/SUMIF(xehet32!T:T,26,xehet32!D:D))</f>
        <v>0</v>
      </c>
      <c r="E69" s="27">
        <f>COUNTIF(xehet32!T:T,26)</f>
        <v>0</v>
      </c>
      <c r="F69" s="78">
        <f>SUMIF(xehet32!T:T,26,xehet32!D:D)</f>
        <v>0</v>
      </c>
    </row>
    <row r="70" spans="1:7" ht="12.75" customHeight="1" x14ac:dyDescent="0.2">
      <c r="A70" s="94"/>
      <c r="B70" s="117" t="s">
        <v>20</v>
      </c>
      <c r="C70" s="151"/>
      <c r="D70" s="61">
        <f>IF(E70=0,0,SUMIF(xehet32!T:T,29,xehet32!R:R)/SUMIF(xehet32!T:T,29,xehet32!D:D))</f>
        <v>0</v>
      </c>
      <c r="E70" s="27">
        <f>COUNTIF(xehet32!T:T,29)</f>
        <v>0</v>
      </c>
      <c r="F70" s="78">
        <f>SUMIF(xehet32!T:T,29,xehet32!D:D)</f>
        <v>0</v>
      </c>
    </row>
    <row r="71" spans="1:7" ht="12.75" customHeight="1" thickBot="1" x14ac:dyDescent="0.25">
      <c r="A71" s="167" t="s">
        <v>11</v>
      </c>
      <c r="B71" s="168"/>
      <c r="C71" s="169"/>
      <c r="D71" s="79">
        <f>IF(F71=0,0,(D68*F68+D69*F69+D70*F70)/F71)</f>
        <v>0</v>
      </c>
      <c r="E71" s="72">
        <f>SUM(E68:E70)</f>
        <v>0</v>
      </c>
      <c r="F71" s="80">
        <f>SUM(F68:F70)</f>
        <v>0</v>
      </c>
    </row>
    <row r="72" spans="1:7" ht="12.75" customHeight="1" x14ac:dyDescent="0.2">
      <c r="D72" s="31">
        <f>IF(D73=0,0,(SUMIF(xehet32!O:O,"&gt;90",xehet32!R:R)/SUMIF(xehet32!O:O,"&gt;90",xehet32!D:D)))-IF(D71="",0,D71)</f>
        <v>0</v>
      </c>
      <c r="E72" s="31">
        <f>COUNTIF(xehet32!O:O,"&gt;90")-E71</f>
        <v>0</v>
      </c>
      <c r="F72" s="31">
        <f>SUMIF(xehet32!O:O,"&gt;90",xehet32!D:D)-F71</f>
        <v>0</v>
      </c>
    </row>
    <row r="73" spans="1:7" ht="12.75" customHeight="1" x14ac:dyDescent="0.2">
      <c r="D73" s="103">
        <f>SUMIF(xehet32!O:O,"&gt;90",xehet32!D:D)</f>
        <v>0</v>
      </c>
    </row>
    <row r="74" spans="1:7" s="19" customFormat="1" ht="13.5" thickBot="1" x14ac:dyDescent="0.25">
      <c r="A74" s="1" t="s">
        <v>47</v>
      </c>
    </row>
    <row r="75" spans="1:7" ht="12.75" customHeight="1" x14ac:dyDescent="0.2">
      <c r="A75" s="125" t="s">
        <v>48</v>
      </c>
      <c r="B75" s="126"/>
      <c r="C75" s="155"/>
      <c r="D75" s="144" t="s">
        <v>65</v>
      </c>
      <c r="E75" s="145"/>
      <c r="F75" s="145"/>
      <c r="G75" s="146"/>
    </row>
    <row r="76" spans="1:7" ht="12.75" customHeight="1" x14ac:dyDescent="0.2">
      <c r="A76" s="128"/>
      <c r="B76" s="129"/>
      <c r="C76" s="156"/>
      <c r="D76" s="54" t="s">
        <v>58</v>
      </c>
      <c r="E76" s="22" t="s">
        <v>59</v>
      </c>
      <c r="F76" s="22" t="s">
        <v>13</v>
      </c>
      <c r="G76" s="67" t="s">
        <v>59</v>
      </c>
    </row>
    <row r="77" spans="1:7" ht="12.75" customHeight="1" x14ac:dyDescent="0.2">
      <c r="A77" s="95"/>
      <c r="B77" s="162" t="s">
        <v>39</v>
      </c>
      <c r="C77" s="163"/>
      <c r="D77" s="36">
        <f>COUNTIF(xehet32!O:O,"&lt;=30")</f>
        <v>0</v>
      </c>
      <c r="E77" s="37">
        <f>IF($D$81=0,0,D77*100/$D$81)</f>
        <v>0</v>
      </c>
      <c r="F77" s="26">
        <f>SUMIF(xehet32!O:O,"&lt;=30",xehet32!D:D)</f>
        <v>0</v>
      </c>
      <c r="G77" s="81">
        <f>IF($F$81=0,0,F77*100/$F$81)</f>
        <v>0</v>
      </c>
    </row>
    <row r="78" spans="1:7" ht="12.75" customHeight="1" x14ac:dyDescent="0.2">
      <c r="A78" s="89"/>
      <c r="B78" s="149" t="s">
        <v>40</v>
      </c>
      <c r="C78" s="150"/>
      <c r="D78" s="36">
        <f>COUNTIF(xehet32!O:O,"&lt;=60")-D77</f>
        <v>0</v>
      </c>
      <c r="E78" s="37">
        <f>IF($D$81=0,0,D78*100/$D$81)</f>
        <v>0</v>
      </c>
      <c r="F78" s="26">
        <f>SUMIF(xehet32!O:O,"&lt;=60",xehet32!D:D)-F77</f>
        <v>0</v>
      </c>
      <c r="G78" s="81">
        <f>IF($F$81=0,0,F78*100/$F$81)</f>
        <v>0</v>
      </c>
    </row>
    <row r="79" spans="1:7" ht="12.75" customHeight="1" x14ac:dyDescent="0.2">
      <c r="A79" s="89"/>
      <c r="B79" s="147" t="s">
        <v>41</v>
      </c>
      <c r="C79" s="148"/>
      <c r="D79" s="36">
        <f>COUNTIF(xehet32!O:O,"&lt;=90")-SUM(D77:D78)</f>
        <v>0</v>
      </c>
      <c r="E79" s="37">
        <f>IF($D$81=0,0,D79*100/$D$81)</f>
        <v>0</v>
      </c>
      <c r="F79" s="26">
        <f>SUMIF(xehet32!O:O,"&lt;=90",xehet32!D:D)-SUM(F77:F78)</f>
        <v>0</v>
      </c>
      <c r="G79" s="81">
        <f>IF($F$81=0,0,F79*100/$F$81)</f>
        <v>0</v>
      </c>
    </row>
    <row r="80" spans="1:7" ht="12.75" customHeight="1" x14ac:dyDescent="0.2">
      <c r="A80" s="89"/>
      <c r="B80" s="147" t="s">
        <v>42</v>
      </c>
      <c r="C80" s="148"/>
      <c r="D80" s="36">
        <f>COUNTIF(xehet32!O:O,"&gt;90")</f>
        <v>0</v>
      </c>
      <c r="E80" s="37">
        <f>IF($D$81=0,0,D80*100/$D$81)</f>
        <v>0</v>
      </c>
      <c r="F80" s="26">
        <f>SUMIF(xehet32!O:O,"&gt;90",xehet32!D:D)</f>
        <v>0</v>
      </c>
      <c r="G80" s="81">
        <f>IF($F$81=0,0,F80*100/$F$81)</f>
        <v>0</v>
      </c>
    </row>
    <row r="81" spans="1:8" ht="12.75" customHeight="1" thickBot="1" x14ac:dyDescent="0.25">
      <c r="A81" s="172" t="s">
        <v>11</v>
      </c>
      <c r="B81" s="173"/>
      <c r="C81" s="174"/>
      <c r="D81" s="70">
        <f>SUM(D77:D80)</f>
        <v>0</v>
      </c>
      <c r="E81" s="82">
        <f>SUM(E77:E80)</f>
        <v>0</v>
      </c>
      <c r="F81" s="71">
        <f>SUM(F77:F80)</f>
        <v>0</v>
      </c>
      <c r="G81" s="83">
        <f>SUM(G77:G80)</f>
        <v>0</v>
      </c>
    </row>
    <row r="82" spans="1:8" ht="12.75" customHeight="1" x14ac:dyDescent="0.2">
      <c r="A82" s="33"/>
      <c r="B82" s="33"/>
      <c r="C82" s="33"/>
      <c r="D82" s="31">
        <f>COUNT(xehet32!D:D)-D81</f>
        <v>0</v>
      </c>
      <c r="E82" s="31"/>
      <c r="F82" s="31">
        <f>SUM(xehet32!D:D)-F81</f>
        <v>0</v>
      </c>
    </row>
    <row r="83" spans="1:8" ht="12.75" customHeight="1" x14ac:dyDescent="0.2">
      <c r="A83" s="33"/>
      <c r="B83" s="33"/>
      <c r="C83" s="33"/>
      <c r="D83" s="31">
        <f>E71-D80</f>
        <v>0</v>
      </c>
      <c r="E83" s="31"/>
      <c r="F83" s="31">
        <f>F71-F80</f>
        <v>0</v>
      </c>
    </row>
    <row r="84" spans="1:8" ht="12.75" customHeight="1" x14ac:dyDescent="0.2">
      <c r="A84" s="33"/>
      <c r="B84" s="33"/>
      <c r="C84" s="33"/>
    </row>
    <row r="85" spans="1:8" s="39" customFormat="1" ht="15.75" x14ac:dyDescent="0.25">
      <c r="A85" s="38" t="s">
        <v>49</v>
      </c>
      <c r="B85" s="53"/>
      <c r="C85" s="53"/>
    </row>
    <row r="86" spans="1:8" ht="12.75" customHeight="1" x14ac:dyDescent="0.2">
      <c r="A86" s="4"/>
      <c r="B86" s="33"/>
      <c r="C86" s="33"/>
    </row>
    <row r="87" spans="1:8" ht="12.75" customHeight="1" thickBot="1" x14ac:dyDescent="0.25"/>
    <row r="88" spans="1:8" ht="12.75" customHeight="1" x14ac:dyDescent="0.2">
      <c r="A88" s="175" t="s">
        <v>51</v>
      </c>
      <c r="B88" s="176"/>
      <c r="C88" s="177"/>
      <c r="D88" s="186" t="s">
        <v>53</v>
      </c>
      <c r="E88" s="187"/>
      <c r="F88" s="186" t="s">
        <v>54</v>
      </c>
      <c r="G88" s="187"/>
      <c r="H88" s="181" t="s">
        <v>50</v>
      </c>
    </row>
    <row r="89" spans="1:8" ht="12.75" customHeight="1" x14ac:dyDescent="0.2">
      <c r="A89" s="178"/>
      <c r="B89" s="179"/>
      <c r="C89" s="180"/>
      <c r="D89" s="62" t="s">
        <v>52</v>
      </c>
      <c r="E89" s="63" t="s">
        <v>44</v>
      </c>
      <c r="F89" s="62" t="s">
        <v>52</v>
      </c>
      <c r="G89" s="63" t="s">
        <v>44</v>
      </c>
      <c r="H89" s="182"/>
    </row>
    <row r="90" spans="1:8" ht="12.75" customHeight="1" thickBot="1" x14ac:dyDescent="0.25">
      <c r="A90" s="183" t="str">
        <f>D3</f>
        <v>OARSOALDEA</v>
      </c>
      <c r="B90" s="184"/>
      <c r="C90" s="185"/>
      <c r="D90" s="84">
        <v>0</v>
      </c>
      <c r="E90" s="85">
        <f>+G26</f>
        <v>949600.03</v>
      </c>
      <c r="F90" s="84">
        <v>0</v>
      </c>
      <c r="G90" s="85">
        <f>+G58</f>
        <v>83804.900000000009</v>
      </c>
      <c r="H90" s="86">
        <f>IF(E90=0,F90,IF(G90=0,D90,(D90*E90+F90*G90)/(E90+G90)))</f>
        <v>0</v>
      </c>
    </row>
    <row r="91" spans="1:8" ht="12.75" customHeight="1" x14ac:dyDescent="0.2">
      <c r="D91" s="31"/>
      <c r="E91" s="105">
        <f>E90-F38</f>
        <v>0</v>
      </c>
      <c r="F91" s="105"/>
      <c r="G91" s="105">
        <f>G90-G58-I58-F81</f>
        <v>0</v>
      </c>
      <c r="H91" s="105">
        <f>IF(H92=0,0,(SUM(xehet1!U:U)+SUM(xehet2!U:U)+SUM(xehet32!S:S)+D24*(G24+I24)+D56*(G56+I56))/(SUM(xehet1!D:D)+SUM(xehet2!D:D)+SUM(xehet32!D:D)+G24+I24+G56+I56))-IF(H90="",0,H90)</f>
        <v>0</v>
      </c>
    </row>
    <row r="92" spans="1:8" ht="12.75" customHeight="1" thickBot="1" x14ac:dyDescent="0.25">
      <c r="A92" s="4" t="s">
        <v>55</v>
      </c>
      <c r="H92" s="104">
        <f>(SUM(xehet1!D:D)+SUM(xehet2!D:D)+SUM(xehet32!D:D)+G24+I24+G56+I56)</f>
        <v>4133619.72</v>
      </c>
    </row>
    <row r="93" spans="1:8" ht="43.5" customHeight="1" thickBot="1" x14ac:dyDescent="0.25">
      <c r="B93" s="170"/>
      <c r="C93" s="171"/>
    </row>
  </sheetData>
  <mergeCells count="50">
    <mergeCell ref="B93:C93"/>
    <mergeCell ref="A81:C81"/>
    <mergeCell ref="A88:C89"/>
    <mergeCell ref="H88:H89"/>
    <mergeCell ref="A90:C90"/>
    <mergeCell ref="D88:E88"/>
    <mergeCell ref="F88:G88"/>
    <mergeCell ref="A71:C71"/>
    <mergeCell ref="A75:C76"/>
    <mergeCell ref="B77:C77"/>
    <mergeCell ref="B78:C78"/>
    <mergeCell ref="B79:C79"/>
    <mergeCell ref="B80:C80"/>
    <mergeCell ref="B70:C70"/>
    <mergeCell ref="D75:G75"/>
    <mergeCell ref="F45:I45"/>
    <mergeCell ref="D46:E46"/>
    <mergeCell ref="F46:G46"/>
    <mergeCell ref="H46:I46"/>
    <mergeCell ref="B57:C57"/>
    <mergeCell ref="A58:C58"/>
    <mergeCell ref="A67:C67"/>
    <mergeCell ref="B68:C68"/>
    <mergeCell ref="B69:C69"/>
    <mergeCell ref="A45:C47"/>
    <mergeCell ref="D45:E45"/>
    <mergeCell ref="A48:C48"/>
    <mergeCell ref="A54:C54"/>
    <mergeCell ref="A56:C56"/>
    <mergeCell ref="D31:G31"/>
    <mergeCell ref="B33:C33"/>
    <mergeCell ref="B34:C34"/>
    <mergeCell ref="B36:C36"/>
    <mergeCell ref="B37:C37"/>
    <mergeCell ref="A38:C38"/>
    <mergeCell ref="A31:C32"/>
    <mergeCell ref="A1:B1"/>
    <mergeCell ref="A2:I2"/>
    <mergeCell ref="D3:G3"/>
    <mergeCell ref="A13:C15"/>
    <mergeCell ref="D13:E13"/>
    <mergeCell ref="F13:I13"/>
    <mergeCell ref="D14:E14"/>
    <mergeCell ref="F14:G14"/>
    <mergeCell ref="H14:I14"/>
    <mergeCell ref="A16:C16"/>
    <mergeCell ref="A22:C22"/>
    <mergeCell ref="A24:C24"/>
    <mergeCell ref="B25:C25"/>
    <mergeCell ref="A26:C26"/>
  </mergeCells>
  <phoneticPr fontId="4" type="noConversion"/>
  <conditionalFormatting sqref="A1:B1 D27:F27 H27:I27 D39:F40 D59:I59 D72:F72 D82:F83 D90 F90 E91:H91">
    <cfRule type="cellIs" dxfId="13" priority="10" stopIfTrue="1" operator="equal">
      <formula>0</formula>
    </cfRule>
  </conditionalFormatting>
  <conditionalFormatting sqref="D16">
    <cfRule type="expression" dxfId="12" priority="11" stopIfTrue="1">
      <formula>F16+H16=0</formula>
    </cfRule>
  </conditionalFormatting>
  <conditionalFormatting sqref="D17:D21 D23 D49:D53 D55 D68:D70">
    <cfRule type="expression" dxfId="11" priority="3" stopIfTrue="1">
      <formula>F17+H17=0</formula>
    </cfRule>
  </conditionalFormatting>
  <conditionalFormatting sqref="D22 D24 D48 D54 D56">
    <cfRule type="expression" dxfId="10" priority="5" stopIfTrue="1">
      <formula>F22+H22=0</formula>
    </cfRule>
  </conditionalFormatting>
  <conditionalFormatting sqref="D27">
    <cfRule type="expression" dxfId="9" priority="14" stopIfTrue="1">
      <formula>"SUMA(xehet1!D:D)=0"</formula>
    </cfRule>
  </conditionalFormatting>
  <conditionalFormatting sqref="D26:E26 D58:E58">
    <cfRule type="cellIs" dxfId="8" priority="12" stopIfTrue="1" operator="equal">
      <formula>0</formula>
    </cfRule>
  </conditionalFormatting>
  <conditionalFormatting sqref="E16 E22 E24 E48 E54 E56">
    <cfRule type="expression" dxfId="7" priority="6" stopIfTrue="1">
      <formula>H16=0</formula>
    </cfRule>
  </conditionalFormatting>
  <conditionalFormatting sqref="E17:E21 E23 E49:E53 E55">
    <cfRule type="expression" dxfId="6" priority="4" stopIfTrue="1">
      <formula>H17=0</formula>
    </cfRule>
  </conditionalFormatting>
  <conditionalFormatting sqref="E38">
    <cfRule type="expression" dxfId="5" priority="8" stopIfTrue="1">
      <formula>$D$38=0</formula>
    </cfRule>
  </conditionalFormatting>
  <conditionalFormatting sqref="E77:E80">
    <cfRule type="expression" dxfId="4" priority="7" stopIfTrue="1">
      <formula>$D$81=0</formula>
    </cfRule>
  </conditionalFormatting>
  <conditionalFormatting sqref="G27">
    <cfRule type="cellIs" dxfId="3" priority="15" stopIfTrue="1" operator="between">
      <formula>-0.00001</formula>
      <formula>0.00001</formula>
    </cfRule>
  </conditionalFormatting>
  <conditionalFormatting sqref="G38">
    <cfRule type="expression" dxfId="2" priority="9" stopIfTrue="1">
      <formula>$F$38=0</formula>
    </cfRule>
  </conditionalFormatting>
  <conditionalFormatting sqref="G77:G80">
    <cfRule type="expression" dxfId="1" priority="2" stopIfTrue="1">
      <formula>F$81=0</formula>
    </cfRule>
  </conditionalFormatting>
  <conditionalFormatting sqref="H90">
    <cfRule type="expression" dxfId="0" priority="1" stopIfTrue="1">
      <formula>$E$90+$G$90=0</formula>
    </cfRule>
  </conditionalFormatting>
  <printOptions horizontalCentered="1"/>
  <pageMargins left="0.62992125984251968" right="0.6692913385826772" top="0.59055118110236227" bottom="0.59055118110236227" header="0.31496062992125984" footer="0.11811023622047245"/>
  <pageSetup paperSize="9" scale="60" orientation="portrait" r:id="rId1"/>
  <headerFooter alignWithMargins="0"/>
  <ignoredErrors>
    <ignoredError sqref="E38" evalError="1"/>
    <ignoredError sqref="E55 H55:I55 H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Orria2">
    <tabColor indexed="47"/>
  </sheetPr>
  <dimension ref="A2:V285"/>
  <sheetViews>
    <sheetView topLeftCell="A278" zoomScale="85" zoomScaleNormal="85" workbookViewId="0">
      <selection activeCell="A6" sqref="A6:XFD287"/>
    </sheetView>
  </sheetViews>
  <sheetFormatPr defaultRowHeight="11.25" x14ac:dyDescent="0.2"/>
  <cols>
    <col min="1" max="1" width="13.7109375" style="2" customWidth="1"/>
    <col min="2" max="2" width="10.7109375" style="15" bestFit="1" customWidth="1"/>
    <col min="3" max="3" width="19.28515625" style="2" bestFit="1" customWidth="1"/>
    <col min="4" max="4" width="11.140625" style="8" bestFit="1" customWidth="1"/>
    <col min="5" max="5" width="3.85546875" style="2" bestFit="1" customWidth="1"/>
    <col min="6" max="6" width="10.7109375" style="2" bestFit="1" customWidth="1"/>
    <col min="7" max="7" width="11.28515625" style="2" customWidth="1"/>
    <col min="8" max="8" width="8.85546875" style="2" customWidth="1"/>
    <col min="9" max="9" width="7.42578125" style="2" customWidth="1"/>
    <col min="10" max="10" width="7" style="2" customWidth="1"/>
    <col min="11" max="11" width="17" style="2" bestFit="1" customWidth="1"/>
    <col min="12" max="12" width="10.85546875" style="15" bestFit="1" customWidth="1"/>
    <col min="13" max="13" width="10" style="15" customWidth="1"/>
    <col min="14" max="14" width="13.5703125" style="15" bestFit="1" customWidth="1"/>
    <col min="15" max="15" width="20.42578125" style="15" customWidth="1"/>
    <col min="16" max="16" width="7.42578125" style="10" bestFit="1" customWidth="1"/>
    <col min="17" max="17" width="7.140625" style="10" customWidth="1"/>
    <col min="18" max="18" width="8.42578125" style="10" bestFit="1" customWidth="1"/>
    <col min="19" max="19" width="7.5703125" style="10" customWidth="1"/>
    <col min="20" max="20" width="13" style="8" bestFit="1" customWidth="1"/>
    <col min="21" max="21" width="14.5703125" style="8" bestFit="1" customWidth="1"/>
    <col min="22" max="16384" width="9.140625" style="2"/>
  </cols>
  <sheetData>
    <row r="2" spans="1:22" x14ac:dyDescent="0.2">
      <c r="N2" s="188" t="s">
        <v>97</v>
      </c>
      <c r="O2" s="189"/>
    </row>
    <row r="3" spans="1:22" x14ac:dyDescent="0.2">
      <c r="A3" s="3" t="s">
        <v>69</v>
      </c>
      <c r="B3" s="17"/>
      <c r="C3" s="4"/>
      <c r="D3" s="7"/>
      <c r="F3" s="4"/>
      <c r="G3" s="4"/>
      <c r="H3" s="4"/>
      <c r="I3" s="4"/>
      <c r="J3" s="4"/>
      <c r="K3" s="4"/>
      <c r="N3" s="106" t="s">
        <v>98</v>
      </c>
    </row>
    <row r="4" spans="1:22" x14ac:dyDescent="0.2">
      <c r="N4" s="106" t="s">
        <v>99</v>
      </c>
      <c r="O4" s="106" t="s">
        <v>100</v>
      </c>
    </row>
    <row r="5" spans="1:22" ht="22.5" x14ac:dyDescent="0.2">
      <c r="A5" s="5" t="s">
        <v>75</v>
      </c>
      <c r="B5" s="18" t="s">
        <v>70</v>
      </c>
      <c r="C5" s="6" t="s">
        <v>85</v>
      </c>
      <c r="D5" s="9" t="s">
        <v>44</v>
      </c>
      <c r="E5" s="2" t="s">
        <v>93</v>
      </c>
      <c r="G5" s="6" t="s">
        <v>71</v>
      </c>
      <c r="H5" s="6" t="s">
        <v>72</v>
      </c>
      <c r="I5" s="6" t="s">
        <v>82</v>
      </c>
      <c r="J5" s="6" t="s">
        <v>83</v>
      </c>
      <c r="K5" s="6" t="s">
        <v>73</v>
      </c>
      <c r="L5" s="16" t="s">
        <v>74</v>
      </c>
      <c r="M5" s="16" t="s">
        <v>76</v>
      </c>
      <c r="N5" s="16" t="s">
        <v>91</v>
      </c>
      <c r="O5" s="16" t="s">
        <v>92</v>
      </c>
      <c r="P5" s="11" t="s">
        <v>77</v>
      </c>
      <c r="Q5" s="12" t="s">
        <v>78</v>
      </c>
      <c r="R5" s="13" t="s">
        <v>79</v>
      </c>
      <c r="S5" s="14" t="s">
        <v>50</v>
      </c>
      <c r="T5" s="8" t="s">
        <v>94</v>
      </c>
      <c r="U5" s="8" t="s">
        <v>95</v>
      </c>
      <c r="V5" s="2" t="s">
        <v>96</v>
      </c>
    </row>
    <row r="6" spans="1:22" ht="15" x14ac:dyDescent="0.25">
      <c r="A6" s="190" t="s">
        <v>116</v>
      </c>
      <c r="B6" s="192">
        <v>45200</v>
      </c>
      <c r="C6" s="190" t="s">
        <v>451</v>
      </c>
      <c r="D6" s="194">
        <v>681.05</v>
      </c>
      <c r="E6">
        <v>20</v>
      </c>
      <c r="L6" s="192">
        <v>45200</v>
      </c>
      <c r="N6" s="108">
        <v>45200</v>
      </c>
      <c r="O6" s="108">
        <v>45200</v>
      </c>
      <c r="P6" s="10">
        <f>+L6-N6</f>
        <v>0</v>
      </c>
      <c r="Q6" s="10">
        <f>+N6-O6</f>
        <v>0</v>
      </c>
      <c r="R6" s="10">
        <f>+L6-O6</f>
        <v>0</v>
      </c>
      <c r="S6" s="10">
        <f>+R6-30</f>
        <v>-30</v>
      </c>
    </row>
    <row r="7" spans="1:22" ht="15" x14ac:dyDescent="0.25">
      <c r="A7" s="190" t="s">
        <v>121</v>
      </c>
      <c r="B7" s="192">
        <v>45200</v>
      </c>
      <c r="C7" s="190" t="s">
        <v>456</v>
      </c>
      <c r="D7" s="194">
        <v>60.5</v>
      </c>
      <c r="E7">
        <v>20</v>
      </c>
      <c r="L7" s="192">
        <v>45200</v>
      </c>
      <c r="N7" s="108">
        <v>45205</v>
      </c>
      <c r="O7" s="108">
        <v>45205</v>
      </c>
      <c r="P7" s="10">
        <f>+L7-N7</f>
        <v>-5</v>
      </c>
      <c r="Q7" s="10">
        <f>+N7-O7</f>
        <v>0</v>
      </c>
      <c r="R7" s="10">
        <f>+L7-O7</f>
        <v>-5</v>
      </c>
      <c r="S7" s="10">
        <f>+R7-30</f>
        <v>-35</v>
      </c>
    </row>
    <row r="8" spans="1:22" ht="15" x14ac:dyDescent="0.25">
      <c r="A8" s="190" t="s">
        <v>122</v>
      </c>
      <c r="B8" s="192">
        <v>45200</v>
      </c>
      <c r="C8" s="190" t="s">
        <v>457</v>
      </c>
      <c r="D8" s="194">
        <v>205.7</v>
      </c>
      <c r="E8">
        <v>20</v>
      </c>
      <c r="L8" s="192">
        <v>45200</v>
      </c>
      <c r="N8" s="108">
        <v>45205</v>
      </c>
      <c r="O8" s="108">
        <v>45205</v>
      </c>
      <c r="P8" s="10">
        <f>+L8-N8</f>
        <v>-5</v>
      </c>
      <c r="Q8" s="10">
        <f>+N8-O8</f>
        <v>0</v>
      </c>
      <c r="R8" s="10">
        <f>+L8-O8</f>
        <v>-5</v>
      </c>
      <c r="S8" s="10">
        <f>+R8-30</f>
        <v>-35</v>
      </c>
    </row>
    <row r="9" spans="1:22" ht="15" x14ac:dyDescent="0.25">
      <c r="A9" s="190" t="s">
        <v>131</v>
      </c>
      <c r="B9" s="192">
        <v>45200</v>
      </c>
      <c r="C9" s="190" t="s">
        <v>466</v>
      </c>
      <c r="D9" s="194">
        <v>834.15</v>
      </c>
      <c r="E9">
        <v>20</v>
      </c>
      <c r="L9" s="192">
        <v>45200</v>
      </c>
      <c r="N9" s="108">
        <v>45229</v>
      </c>
      <c r="O9" s="108">
        <v>45229</v>
      </c>
      <c r="P9" s="10">
        <f>+L9-N9</f>
        <v>-29</v>
      </c>
      <c r="Q9" s="10">
        <f>+N9-O9</f>
        <v>0</v>
      </c>
      <c r="R9" s="10">
        <f>+L9-O9</f>
        <v>-29</v>
      </c>
      <c r="S9" s="10">
        <f>+R9-30</f>
        <v>-59</v>
      </c>
    </row>
    <row r="10" spans="1:22" ht="15" x14ac:dyDescent="0.25">
      <c r="A10" s="190" t="s">
        <v>143</v>
      </c>
      <c r="B10" s="192">
        <v>45231</v>
      </c>
      <c r="C10" s="190" t="s">
        <v>478</v>
      </c>
      <c r="D10" s="194">
        <v>681.05</v>
      </c>
      <c r="E10">
        <v>20</v>
      </c>
      <c r="L10" s="192">
        <v>45231</v>
      </c>
      <c r="N10" s="108">
        <v>45231</v>
      </c>
      <c r="O10" s="108">
        <v>45231</v>
      </c>
      <c r="P10" s="10">
        <f>+L10-N10</f>
        <v>0</v>
      </c>
      <c r="Q10" s="10">
        <f>+N10-O10</f>
        <v>0</v>
      </c>
      <c r="R10" s="10">
        <f>+L10-O10</f>
        <v>0</v>
      </c>
      <c r="S10" s="10">
        <f>+R10-30</f>
        <v>-30</v>
      </c>
    </row>
    <row r="11" spans="1:22" ht="15" x14ac:dyDescent="0.25">
      <c r="A11" s="190" t="s">
        <v>148</v>
      </c>
      <c r="B11" s="192">
        <v>45205</v>
      </c>
      <c r="C11" s="190" t="s">
        <v>483</v>
      </c>
      <c r="D11" s="194">
        <v>2049.7399999999998</v>
      </c>
      <c r="E11">
        <v>20</v>
      </c>
      <c r="L11" s="192">
        <v>45205</v>
      </c>
      <c r="N11" s="108">
        <v>45229</v>
      </c>
      <c r="O11" s="108">
        <v>45229</v>
      </c>
      <c r="P11" s="10">
        <f>+L11-N11</f>
        <v>-24</v>
      </c>
      <c r="Q11" s="10">
        <f>+N11-O11</f>
        <v>0</v>
      </c>
      <c r="R11" s="10">
        <f>+L11-O11</f>
        <v>-24</v>
      </c>
      <c r="S11" s="10">
        <f>+R11-30</f>
        <v>-54</v>
      </c>
    </row>
    <row r="12" spans="1:22" ht="15" x14ac:dyDescent="0.25">
      <c r="A12" s="190" t="s">
        <v>180</v>
      </c>
      <c r="B12" s="192">
        <v>45231</v>
      </c>
      <c r="C12" s="190" t="s">
        <v>515</v>
      </c>
      <c r="D12" s="194">
        <v>60.5</v>
      </c>
      <c r="E12">
        <v>20</v>
      </c>
      <c r="L12" s="192">
        <v>45231</v>
      </c>
      <c r="N12" s="108">
        <v>45236</v>
      </c>
      <c r="O12" s="108">
        <v>45236</v>
      </c>
      <c r="P12" s="10">
        <f>+L12-N12</f>
        <v>-5</v>
      </c>
      <c r="Q12" s="10">
        <f>+N12-O12</f>
        <v>0</v>
      </c>
      <c r="R12" s="10">
        <f>+L12-O12</f>
        <v>-5</v>
      </c>
      <c r="S12" s="10">
        <f>+R12-30</f>
        <v>-35</v>
      </c>
    </row>
    <row r="13" spans="1:22" ht="15" x14ac:dyDescent="0.25">
      <c r="A13" s="190" t="s">
        <v>181</v>
      </c>
      <c r="B13" s="192">
        <v>45231</v>
      </c>
      <c r="C13" s="190" t="s">
        <v>516</v>
      </c>
      <c r="D13" s="194">
        <v>205.7</v>
      </c>
      <c r="E13">
        <v>20</v>
      </c>
      <c r="L13" s="192">
        <v>45231</v>
      </c>
      <c r="N13" s="108">
        <v>45236</v>
      </c>
      <c r="O13" s="108">
        <v>45236</v>
      </c>
      <c r="P13" s="10">
        <f>+L13-N13</f>
        <v>-5</v>
      </c>
      <c r="Q13" s="10">
        <f>+N13-O13</f>
        <v>0</v>
      </c>
      <c r="R13" s="10">
        <f>+L13-O13</f>
        <v>-5</v>
      </c>
      <c r="S13" s="10">
        <f>+R13-30</f>
        <v>-35</v>
      </c>
    </row>
    <row r="14" spans="1:22" ht="15" x14ac:dyDescent="0.25">
      <c r="A14" s="190" t="s">
        <v>217</v>
      </c>
      <c r="B14" s="192">
        <v>45231</v>
      </c>
      <c r="C14" s="190" t="s">
        <v>552</v>
      </c>
      <c r="D14" s="194">
        <v>834.15</v>
      </c>
      <c r="E14">
        <v>20</v>
      </c>
      <c r="L14" s="192">
        <v>45231</v>
      </c>
      <c r="N14" s="108">
        <v>45243</v>
      </c>
      <c r="O14" s="108">
        <v>45243</v>
      </c>
      <c r="P14" s="10">
        <f>+L14-N14</f>
        <v>-12</v>
      </c>
      <c r="Q14" s="10">
        <f>+N14-O14</f>
        <v>0</v>
      </c>
      <c r="R14" s="10">
        <f>+L14-O14</f>
        <v>-12</v>
      </c>
      <c r="S14" s="10">
        <f>+R14-30</f>
        <v>-42</v>
      </c>
    </row>
    <row r="15" spans="1:22" ht="15" x14ac:dyDescent="0.25">
      <c r="A15" s="190" t="s">
        <v>229</v>
      </c>
      <c r="B15" s="192">
        <v>45237</v>
      </c>
      <c r="C15" s="190" t="s">
        <v>563</v>
      </c>
      <c r="D15" s="194">
        <v>1497.6</v>
      </c>
      <c r="E15">
        <v>20</v>
      </c>
      <c r="L15" s="192">
        <v>45238</v>
      </c>
      <c r="N15" s="108">
        <v>45243</v>
      </c>
      <c r="O15" s="108">
        <v>45243</v>
      </c>
      <c r="P15" s="10">
        <f>+L15-N15</f>
        <v>-5</v>
      </c>
      <c r="Q15" s="10">
        <f>+N15-O15</f>
        <v>0</v>
      </c>
      <c r="R15" s="10">
        <f>+L15-O15</f>
        <v>-5</v>
      </c>
      <c r="S15" s="10">
        <f>+R15-30</f>
        <v>-35</v>
      </c>
    </row>
    <row r="16" spans="1:22" ht="15" x14ac:dyDescent="0.25">
      <c r="A16" s="190" t="s">
        <v>236</v>
      </c>
      <c r="B16" s="192">
        <v>45243</v>
      </c>
      <c r="C16" s="190" t="s">
        <v>569</v>
      </c>
      <c r="D16" s="194">
        <v>2088.4499999999998</v>
      </c>
      <c r="E16">
        <v>20</v>
      </c>
      <c r="L16" s="192">
        <v>45243</v>
      </c>
      <c r="N16" s="108">
        <v>45243</v>
      </c>
      <c r="O16" s="108">
        <v>45243</v>
      </c>
      <c r="P16" s="10">
        <f>+L16-N16</f>
        <v>0</v>
      </c>
      <c r="Q16" s="10">
        <f>+N16-O16</f>
        <v>0</v>
      </c>
      <c r="R16" s="10">
        <f>+L16-O16</f>
        <v>0</v>
      </c>
      <c r="S16" s="10">
        <f>+R16-30</f>
        <v>-30</v>
      </c>
    </row>
    <row r="17" spans="1:19" ht="15" x14ac:dyDescent="0.25">
      <c r="A17" s="190" t="s">
        <v>241</v>
      </c>
      <c r="B17" s="192">
        <v>45243</v>
      </c>
      <c r="C17" s="190" t="s">
        <v>574</v>
      </c>
      <c r="D17" s="194">
        <v>4717.4399999999996</v>
      </c>
      <c r="E17">
        <v>20</v>
      </c>
      <c r="L17" s="192">
        <v>45243</v>
      </c>
      <c r="N17" s="108">
        <v>45259</v>
      </c>
      <c r="O17" s="108">
        <v>45259</v>
      </c>
      <c r="P17" s="10">
        <f>+L17-N17</f>
        <v>-16</v>
      </c>
      <c r="Q17" s="10">
        <f>+N17-O17</f>
        <v>0</v>
      </c>
      <c r="R17" s="10">
        <f>+L17-O17</f>
        <v>-16</v>
      </c>
      <c r="S17" s="10">
        <f>+R17-30</f>
        <v>-46</v>
      </c>
    </row>
    <row r="18" spans="1:19" ht="15" x14ac:dyDescent="0.25">
      <c r="A18" s="190" t="s">
        <v>253</v>
      </c>
      <c r="B18" s="192">
        <v>45243</v>
      </c>
      <c r="C18" s="190" t="s">
        <v>586</v>
      </c>
      <c r="D18" s="194">
        <v>2391.12</v>
      </c>
      <c r="E18">
        <v>20</v>
      </c>
      <c r="L18" s="192">
        <v>45243</v>
      </c>
      <c r="N18" s="108">
        <v>45259</v>
      </c>
      <c r="O18" s="108">
        <v>45259</v>
      </c>
      <c r="P18" s="10">
        <f>+L18-N18</f>
        <v>-16</v>
      </c>
      <c r="Q18" s="10">
        <f>+N18-O18</f>
        <v>0</v>
      </c>
      <c r="R18" s="10">
        <f>+L18-O18</f>
        <v>-16</v>
      </c>
      <c r="S18" s="10">
        <f>+R18-30</f>
        <v>-46</v>
      </c>
    </row>
    <row r="19" spans="1:19" ht="15" x14ac:dyDescent="0.25">
      <c r="A19" s="190" t="s">
        <v>270</v>
      </c>
      <c r="B19" s="192">
        <v>45261</v>
      </c>
      <c r="C19" s="190" t="s">
        <v>603</v>
      </c>
      <c r="D19" s="194">
        <v>681.05</v>
      </c>
      <c r="E19">
        <v>20</v>
      </c>
      <c r="L19" s="192">
        <v>45261</v>
      </c>
      <c r="N19" s="108">
        <v>45261</v>
      </c>
      <c r="O19" s="108">
        <v>45261</v>
      </c>
      <c r="P19" s="10">
        <f>+L19-N19</f>
        <v>0</v>
      </c>
      <c r="Q19" s="10">
        <f>+N19-O19</f>
        <v>0</v>
      </c>
      <c r="R19" s="10">
        <f>+L19-O19</f>
        <v>0</v>
      </c>
      <c r="S19" s="10">
        <f>+R19-30</f>
        <v>-30</v>
      </c>
    </row>
    <row r="20" spans="1:19" ht="15" x14ac:dyDescent="0.25">
      <c r="A20" s="190" t="s">
        <v>297</v>
      </c>
      <c r="B20" s="192">
        <v>45261</v>
      </c>
      <c r="C20" s="190" t="s">
        <v>630</v>
      </c>
      <c r="D20" s="194">
        <v>205.7</v>
      </c>
      <c r="E20">
        <v>20</v>
      </c>
      <c r="L20" s="192">
        <v>45261</v>
      </c>
      <c r="N20" s="108">
        <v>45267</v>
      </c>
      <c r="O20" s="108">
        <v>45267</v>
      </c>
      <c r="P20" s="10">
        <f>+L20-N20</f>
        <v>-6</v>
      </c>
      <c r="Q20" s="10">
        <f>+N20-O20</f>
        <v>0</v>
      </c>
      <c r="R20" s="10">
        <f>+L20-O20</f>
        <v>-6</v>
      </c>
      <c r="S20" s="10">
        <f>+R20-30</f>
        <v>-36</v>
      </c>
    </row>
    <row r="21" spans="1:19" ht="15" x14ac:dyDescent="0.25">
      <c r="A21" s="190" t="s">
        <v>298</v>
      </c>
      <c r="B21" s="192">
        <v>45261</v>
      </c>
      <c r="C21" s="190" t="s">
        <v>631</v>
      </c>
      <c r="D21" s="194">
        <v>60.5</v>
      </c>
      <c r="E21">
        <v>20</v>
      </c>
      <c r="L21" s="192">
        <v>45261</v>
      </c>
      <c r="N21" s="108">
        <v>45267</v>
      </c>
      <c r="O21" s="108">
        <v>45267</v>
      </c>
      <c r="P21" s="10">
        <f>+L21-N21</f>
        <v>-6</v>
      </c>
      <c r="Q21" s="10">
        <f>+N21-O21</f>
        <v>0</v>
      </c>
      <c r="R21" s="10">
        <f>+L21-O21</f>
        <v>-6</v>
      </c>
      <c r="S21" s="10">
        <f>+R21-30</f>
        <v>-36</v>
      </c>
    </row>
    <row r="22" spans="1:19" ht="15" x14ac:dyDescent="0.25">
      <c r="A22" s="190" t="s">
        <v>305</v>
      </c>
      <c r="B22" s="192">
        <v>45260</v>
      </c>
      <c r="C22" s="190" t="s">
        <v>638</v>
      </c>
      <c r="D22" s="194">
        <v>48.36</v>
      </c>
      <c r="E22">
        <v>20</v>
      </c>
      <c r="L22" s="192">
        <v>45260</v>
      </c>
      <c r="N22" s="108">
        <v>45275</v>
      </c>
      <c r="O22" s="108">
        <v>45275</v>
      </c>
      <c r="P22" s="10">
        <f>+L22-N22</f>
        <v>-15</v>
      </c>
      <c r="Q22" s="10">
        <f>+N22-O22</f>
        <v>0</v>
      </c>
      <c r="R22" s="10">
        <f>+L22-O22</f>
        <v>-15</v>
      </c>
      <c r="S22" s="10">
        <f>+R22-30</f>
        <v>-45</v>
      </c>
    </row>
    <row r="23" spans="1:19" ht="15" x14ac:dyDescent="0.25">
      <c r="A23" s="190" t="s">
        <v>127</v>
      </c>
      <c r="B23" s="192">
        <v>45209</v>
      </c>
      <c r="C23" s="190" t="s">
        <v>462</v>
      </c>
      <c r="D23" s="194">
        <v>104.97</v>
      </c>
      <c r="E23">
        <v>21</v>
      </c>
      <c r="L23" s="192">
        <v>45209</v>
      </c>
      <c r="N23" s="108">
        <v>45215</v>
      </c>
      <c r="O23" s="108">
        <v>45215</v>
      </c>
      <c r="P23" s="10">
        <f>+L23-N23</f>
        <v>-6</v>
      </c>
      <c r="Q23" s="10">
        <f>+N23-O23</f>
        <v>0</v>
      </c>
      <c r="R23" s="10">
        <f>+L23-O23</f>
        <v>-6</v>
      </c>
      <c r="S23" s="10">
        <f>+R23-30</f>
        <v>-36</v>
      </c>
    </row>
    <row r="24" spans="1:19" ht="15" x14ac:dyDescent="0.25">
      <c r="A24" s="190" t="s">
        <v>134</v>
      </c>
      <c r="B24" s="192">
        <v>45216</v>
      </c>
      <c r="C24" s="190" t="s">
        <v>469</v>
      </c>
      <c r="D24" s="194">
        <v>679.54</v>
      </c>
      <c r="E24">
        <v>21</v>
      </c>
      <c r="L24" s="192">
        <v>45216</v>
      </c>
      <c r="N24" s="108">
        <v>45247</v>
      </c>
      <c r="O24" s="108">
        <v>45247</v>
      </c>
      <c r="P24" s="10">
        <f>+L24-N24</f>
        <v>-31</v>
      </c>
      <c r="Q24" s="10">
        <f>+N24-O24</f>
        <v>0</v>
      </c>
      <c r="R24" s="10">
        <f>+L24-O24</f>
        <v>-31</v>
      </c>
      <c r="S24" s="10">
        <f>+R24-30</f>
        <v>-61</v>
      </c>
    </row>
    <row r="25" spans="1:19" ht="15" x14ac:dyDescent="0.25">
      <c r="A25" s="190" t="s">
        <v>149</v>
      </c>
      <c r="B25" s="192">
        <v>45223</v>
      </c>
      <c r="C25" s="190" t="s">
        <v>484</v>
      </c>
      <c r="D25" s="194">
        <v>1563.32</v>
      </c>
      <c r="E25">
        <v>21</v>
      </c>
      <c r="L25" s="192">
        <v>45223</v>
      </c>
      <c r="N25" s="108">
        <v>45229</v>
      </c>
      <c r="O25" s="108">
        <v>45229</v>
      </c>
      <c r="P25" s="10">
        <f>+L25-N25</f>
        <v>-6</v>
      </c>
      <c r="Q25" s="10">
        <f>+N25-O25</f>
        <v>0</v>
      </c>
      <c r="R25" s="10">
        <f>+L25-O25</f>
        <v>-6</v>
      </c>
      <c r="S25" s="10">
        <f>+R25-30</f>
        <v>-36</v>
      </c>
    </row>
    <row r="26" spans="1:19" ht="15" x14ac:dyDescent="0.25">
      <c r="A26" s="190" t="s">
        <v>160</v>
      </c>
      <c r="B26" s="192">
        <v>45223</v>
      </c>
      <c r="C26" s="190" t="s">
        <v>495</v>
      </c>
      <c r="D26" s="194">
        <v>184.6</v>
      </c>
      <c r="E26">
        <v>21</v>
      </c>
      <c r="L26" s="192">
        <v>45223</v>
      </c>
      <c r="N26" s="108">
        <v>45229</v>
      </c>
      <c r="O26" s="108">
        <v>45229</v>
      </c>
      <c r="P26" s="10">
        <f>+L26-N26</f>
        <v>-6</v>
      </c>
      <c r="Q26" s="10">
        <f>+N26-O26</f>
        <v>0</v>
      </c>
      <c r="R26" s="10">
        <f>+L26-O26</f>
        <v>-6</v>
      </c>
      <c r="S26" s="10">
        <f>+R26-30</f>
        <v>-36</v>
      </c>
    </row>
    <row r="27" spans="1:19" ht="15" x14ac:dyDescent="0.25">
      <c r="A27" s="190" t="s">
        <v>161</v>
      </c>
      <c r="B27" s="192">
        <v>45215</v>
      </c>
      <c r="C27" s="190" t="s">
        <v>496</v>
      </c>
      <c r="D27" s="194">
        <v>3178.67</v>
      </c>
      <c r="E27">
        <v>21</v>
      </c>
      <c r="L27" s="192">
        <v>45215</v>
      </c>
      <c r="N27" s="108">
        <v>45245</v>
      </c>
      <c r="O27" s="108">
        <v>45245</v>
      </c>
      <c r="P27" s="10">
        <f>+L27-N27</f>
        <v>-30</v>
      </c>
      <c r="Q27" s="10">
        <f>+N27-O27</f>
        <v>0</v>
      </c>
      <c r="R27" s="10">
        <f>+L27-O27</f>
        <v>-30</v>
      </c>
      <c r="S27" s="10">
        <f>+R27-30</f>
        <v>-60</v>
      </c>
    </row>
    <row r="28" spans="1:19" ht="15" x14ac:dyDescent="0.25">
      <c r="A28" s="190" t="s">
        <v>162</v>
      </c>
      <c r="B28" s="192">
        <v>45200</v>
      </c>
      <c r="C28" s="190" t="s">
        <v>497</v>
      </c>
      <c r="D28" s="194">
        <v>211.75</v>
      </c>
      <c r="E28">
        <v>21</v>
      </c>
      <c r="L28" s="192">
        <v>45200</v>
      </c>
      <c r="N28" s="108">
        <v>45200</v>
      </c>
      <c r="O28" s="108">
        <v>45200</v>
      </c>
      <c r="P28" s="10">
        <f>+L28-N28</f>
        <v>0</v>
      </c>
      <c r="Q28" s="10">
        <f>+N28-O28</f>
        <v>0</v>
      </c>
      <c r="R28" s="10">
        <f>+L28-O28</f>
        <v>0</v>
      </c>
      <c r="S28" s="10">
        <f>+R28-30</f>
        <v>-30</v>
      </c>
    </row>
    <row r="29" spans="1:19" ht="15" x14ac:dyDescent="0.25">
      <c r="A29" s="190" t="s">
        <v>165</v>
      </c>
      <c r="B29" s="192">
        <v>45200</v>
      </c>
      <c r="C29" s="190" t="s">
        <v>500</v>
      </c>
      <c r="D29" s="194">
        <v>42.5</v>
      </c>
      <c r="E29">
        <v>21</v>
      </c>
      <c r="L29" s="192">
        <v>45200</v>
      </c>
      <c r="N29" s="108">
        <v>45229</v>
      </c>
      <c r="O29" s="108">
        <v>45229</v>
      </c>
      <c r="P29" s="10">
        <f>+L29-N29</f>
        <v>-29</v>
      </c>
      <c r="Q29" s="10">
        <f>+N29-O29</f>
        <v>0</v>
      </c>
      <c r="R29" s="10">
        <f>+L29-O29</f>
        <v>-29</v>
      </c>
      <c r="S29" s="10">
        <f>+R29-30</f>
        <v>-59</v>
      </c>
    </row>
    <row r="30" spans="1:19" ht="15" x14ac:dyDescent="0.25">
      <c r="A30" s="190" t="s">
        <v>174</v>
      </c>
      <c r="B30" s="192">
        <v>45222</v>
      </c>
      <c r="C30" s="190" t="s">
        <v>509</v>
      </c>
      <c r="D30" s="194">
        <v>26.61</v>
      </c>
      <c r="E30">
        <v>21</v>
      </c>
      <c r="L30" s="192">
        <v>45222</v>
      </c>
      <c r="N30" s="108">
        <v>45225</v>
      </c>
      <c r="O30" s="108">
        <v>45225</v>
      </c>
      <c r="P30" s="10">
        <f>+L30-N30</f>
        <v>-3</v>
      </c>
      <c r="Q30" s="10">
        <f>+N30-O30</f>
        <v>0</v>
      </c>
      <c r="R30" s="10">
        <f>+L30-O30</f>
        <v>-3</v>
      </c>
      <c r="S30" s="10">
        <f>+R30-30</f>
        <v>-33</v>
      </c>
    </row>
    <row r="31" spans="1:19" ht="15" x14ac:dyDescent="0.25">
      <c r="A31" s="190" t="s">
        <v>201</v>
      </c>
      <c r="B31" s="192">
        <v>45225</v>
      </c>
      <c r="C31" s="190" t="s">
        <v>536</v>
      </c>
      <c r="D31" s="194">
        <v>439.42</v>
      </c>
      <c r="E31">
        <v>21</v>
      </c>
      <c r="L31" s="192">
        <v>45225</v>
      </c>
      <c r="N31" s="108">
        <v>45258</v>
      </c>
      <c r="O31" s="108">
        <v>45258</v>
      </c>
      <c r="P31" s="10">
        <f>+L31-N31</f>
        <v>-33</v>
      </c>
      <c r="Q31" s="10">
        <f>+N31-O31</f>
        <v>0</v>
      </c>
      <c r="R31" s="10">
        <f>+L31-O31</f>
        <v>-33</v>
      </c>
      <c r="S31" s="10">
        <f>+R31-30</f>
        <v>-63</v>
      </c>
    </row>
    <row r="32" spans="1:19" ht="15" x14ac:dyDescent="0.25">
      <c r="A32" s="190" t="s">
        <v>206</v>
      </c>
      <c r="B32" s="192">
        <v>45230</v>
      </c>
      <c r="C32" s="190" t="s">
        <v>541</v>
      </c>
      <c r="D32" s="194">
        <v>60.5</v>
      </c>
      <c r="E32">
        <v>21</v>
      </c>
      <c r="L32" s="192">
        <v>45201</v>
      </c>
      <c r="N32" s="108">
        <v>45257</v>
      </c>
      <c r="O32" s="108">
        <v>45257</v>
      </c>
      <c r="P32" s="10">
        <f>+L32-N32</f>
        <v>-56</v>
      </c>
      <c r="Q32" s="10">
        <f>+N32-O32</f>
        <v>0</v>
      </c>
      <c r="R32" s="10">
        <f>+L32-O32</f>
        <v>-56</v>
      </c>
      <c r="S32" s="10">
        <f>+R32-30</f>
        <v>-86</v>
      </c>
    </row>
    <row r="33" spans="1:19" ht="15" x14ac:dyDescent="0.25">
      <c r="A33" s="190" t="s">
        <v>208</v>
      </c>
      <c r="B33" s="192">
        <v>45230</v>
      </c>
      <c r="C33" s="190" t="s">
        <v>543</v>
      </c>
      <c r="D33" s="194">
        <v>290.39999999999998</v>
      </c>
      <c r="E33">
        <v>21</v>
      </c>
      <c r="L33" s="192">
        <v>45230</v>
      </c>
      <c r="N33" s="108">
        <v>45243</v>
      </c>
      <c r="O33" s="108">
        <v>45243</v>
      </c>
      <c r="P33" s="10">
        <f>+L33-N33</f>
        <v>-13</v>
      </c>
      <c r="Q33" s="10">
        <f>+N33-O33</f>
        <v>0</v>
      </c>
      <c r="R33" s="10">
        <f>+L33-O33</f>
        <v>-13</v>
      </c>
      <c r="S33" s="10">
        <f>+R33-30</f>
        <v>-43</v>
      </c>
    </row>
    <row r="34" spans="1:19" ht="15" x14ac:dyDescent="0.25">
      <c r="A34" s="190" t="s">
        <v>211</v>
      </c>
      <c r="B34" s="192">
        <v>45226</v>
      </c>
      <c r="C34" s="190" t="s">
        <v>546</v>
      </c>
      <c r="D34" s="194">
        <v>57.34</v>
      </c>
      <c r="E34">
        <v>21</v>
      </c>
      <c r="L34" s="192">
        <v>45226</v>
      </c>
      <c r="N34" s="108">
        <v>45226</v>
      </c>
      <c r="O34" s="108">
        <v>45226</v>
      </c>
      <c r="P34" s="10">
        <f>+L34-N34</f>
        <v>0</v>
      </c>
      <c r="Q34" s="10">
        <f>+N34-O34</f>
        <v>0</v>
      </c>
      <c r="R34" s="10">
        <f>+L34-O34</f>
        <v>0</v>
      </c>
      <c r="S34" s="10">
        <f>+R34-30</f>
        <v>-30</v>
      </c>
    </row>
    <row r="35" spans="1:19" ht="15" x14ac:dyDescent="0.25">
      <c r="A35" s="190" t="s">
        <v>220</v>
      </c>
      <c r="B35" s="192">
        <v>45236</v>
      </c>
      <c r="C35" s="190" t="s">
        <v>555</v>
      </c>
      <c r="D35" s="194">
        <v>14</v>
      </c>
      <c r="E35">
        <v>21</v>
      </c>
      <c r="L35" s="192">
        <v>45236</v>
      </c>
      <c r="N35" s="108">
        <v>45236</v>
      </c>
      <c r="O35" s="108">
        <v>45236</v>
      </c>
      <c r="P35" s="10">
        <f>+L35-N35</f>
        <v>0</v>
      </c>
      <c r="Q35" s="10">
        <f>+N35-O35</f>
        <v>0</v>
      </c>
      <c r="R35" s="10">
        <f>+L35-O35</f>
        <v>0</v>
      </c>
      <c r="S35" s="10">
        <f>+R35-30</f>
        <v>-30</v>
      </c>
    </row>
    <row r="36" spans="1:19" ht="15" x14ac:dyDescent="0.25">
      <c r="A36" s="190" t="s">
        <v>223</v>
      </c>
      <c r="B36" s="192">
        <v>45237</v>
      </c>
      <c r="C36" s="190" t="s">
        <v>558</v>
      </c>
      <c r="D36" s="194">
        <v>423.74</v>
      </c>
      <c r="E36">
        <v>21</v>
      </c>
      <c r="L36" s="192">
        <v>45237</v>
      </c>
      <c r="N36" s="108">
        <v>45243</v>
      </c>
      <c r="O36" s="108">
        <v>45243</v>
      </c>
      <c r="P36" s="10">
        <f>+L36-N36</f>
        <v>-6</v>
      </c>
      <c r="Q36" s="10">
        <f>+N36-O36</f>
        <v>0</v>
      </c>
      <c r="R36" s="10">
        <f>+L36-O36</f>
        <v>-6</v>
      </c>
      <c r="S36" s="10">
        <f>+R36-30</f>
        <v>-36</v>
      </c>
    </row>
    <row r="37" spans="1:19" ht="15" x14ac:dyDescent="0.25">
      <c r="A37" s="190" t="s">
        <v>250</v>
      </c>
      <c r="B37" s="192">
        <v>45246</v>
      </c>
      <c r="C37" s="190" t="s">
        <v>583</v>
      </c>
      <c r="D37" s="194">
        <v>675.68</v>
      </c>
      <c r="E37">
        <v>21</v>
      </c>
      <c r="L37" s="192">
        <v>45246</v>
      </c>
      <c r="N37" s="108">
        <v>45278</v>
      </c>
      <c r="O37" s="108">
        <v>45278</v>
      </c>
      <c r="P37" s="10">
        <f>+L37-N37</f>
        <v>-32</v>
      </c>
      <c r="Q37" s="10">
        <f>+N37-O37</f>
        <v>0</v>
      </c>
      <c r="R37" s="10">
        <f>+L37-O37</f>
        <v>-32</v>
      </c>
      <c r="S37" s="10">
        <f>+R37-30</f>
        <v>-62</v>
      </c>
    </row>
    <row r="38" spans="1:19" ht="15" x14ac:dyDescent="0.25">
      <c r="A38" s="190" t="s">
        <v>268</v>
      </c>
      <c r="B38" s="192">
        <v>45251</v>
      </c>
      <c r="C38" s="190" t="s">
        <v>601</v>
      </c>
      <c r="D38" s="194">
        <v>100.85</v>
      </c>
      <c r="E38">
        <v>21</v>
      </c>
      <c r="L38" s="192">
        <v>45251</v>
      </c>
      <c r="N38" s="108">
        <v>45254</v>
      </c>
      <c r="O38" s="108">
        <v>45254</v>
      </c>
      <c r="P38" s="10">
        <f>+L38-N38</f>
        <v>-3</v>
      </c>
      <c r="Q38" s="10">
        <f>+N38-O38</f>
        <v>0</v>
      </c>
      <c r="R38" s="10">
        <f>+L38-O38</f>
        <v>-3</v>
      </c>
      <c r="S38" s="10">
        <f>+R38-30</f>
        <v>-33</v>
      </c>
    </row>
    <row r="39" spans="1:19" ht="15" x14ac:dyDescent="0.25">
      <c r="A39" s="190" t="s">
        <v>269</v>
      </c>
      <c r="B39" s="192">
        <v>45251</v>
      </c>
      <c r="C39" s="190" t="s">
        <v>602</v>
      </c>
      <c r="D39" s="194">
        <v>49.39</v>
      </c>
      <c r="E39">
        <v>21</v>
      </c>
      <c r="L39" s="192">
        <v>45251</v>
      </c>
      <c r="N39" s="108">
        <v>45254</v>
      </c>
      <c r="O39" s="108">
        <v>45254</v>
      </c>
      <c r="P39" s="10">
        <f>+L39-N39</f>
        <v>-3</v>
      </c>
      <c r="Q39" s="10">
        <f>+N39-O39</f>
        <v>0</v>
      </c>
      <c r="R39" s="10">
        <f>+L39-O39</f>
        <v>-3</v>
      </c>
      <c r="S39" s="10">
        <f>+R39-30</f>
        <v>-33</v>
      </c>
    </row>
    <row r="40" spans="1:19" ht="15" x14ac:dyDescent="0.25">
      <c r="A40" s="190" t="s">
        <v>276</v>
      </c>
      <c r="B40" s="192">
        <v>45250</v>
      </c>
      <c r="C40" s="190" t="s">
        <v>609</v>
      </c>
      <c r="D40" s="194">
        <v>106.48</v>
      </c>
      <c r="E40">
        <v>21</v>
      </c>
      <c r="L40" s="192">
        <v>45250</v>
      </c>
      <c r="N40" s="108">
        <v>45259</v>
      </c>
      <c r="O40" s="108">
        <v>45259</v>
      </c>
      <c r="P40" s="10">
        <f>+L40-N40</f>
        <v>-9</v>
      </c>
      <c r="Q40" s="10">
        <f>+N40-O40</f>
        <v>0</v>
      </c>
      <c r="R40" s="10">
        <f>+L40-O40</f>
        <v>-9</v>
      </c>
      <c r="S40" s="10">
        <f>+R40-30</f>
        <v>-39</v>
      </c>
    </row>
    <row r="41" spans="1:19" ht="15" x14ac:dyDescent="0.25">
      <c r="A41" s="190" t="s">
        <v>284</v>
      </c>
      <c r="B41" s="192">
        <v>45254</v>
      </c>
      <c r="C41" s="190" t="s">
        <v>617</v>
      </c>
      <c r="D41" s="194">
        <v>391.59</v>
      </c>
      <c r="E41">
        <v>21</v>
      </c>
      <c r="L41" s="192">
        <v>45254</v>
      </c>
      <c r="N41" s="108">
        <v>45287</v>
      </c>
      <c r="O41" s="108">
        <v>45287</v>
      </c>
      <c r="P41" s="10">
        <f>+L41-N41</f>
        <v>-33</v>
      </c>
      <c r="Q41" s="10">
        <f>+N41-O41</f>
        <v>0</v>
      </c>
      <c r="R41" s="10">
        <f>+L41-O41</f>
        <v>-33</v>
      </c>
      <c r="S41" s="10">
        <f>+R41-30</f>
        <v>-63</v>
      </c>
    </row>
    <row r="42" spans="1:19" ht="15" x14ac:dyDescent="0.25">
      <c r="A42" s="190" t="s">
        <v>286</v>
      </c>
      <c r="B42" s="192">
        <v>45260</v>
      </c>
      <c r="C42" s="190" t="s">
        <v>619</v>
      </c>
      <c r="D42" s="194">
        <v>255.9</v>
      </c>
      <c r="E42">
        <v>21</v>
      </c>
      <c r="L42" s="192">
        <v>45260</v>
      </c>
      <c r="N42" s="108">
        <v>45275</v>
      </c>
      <c r="O42" s="108">
        <v>45275</v>
      </c>
      <c r="P42" s="10">
        <f>+L42-N42</f>
        <v>-15</v>
      </c>
      <c r="Q42" s="10">
        <f>+N42-O42</f>
        <v>0</v>
      </c>
      <c r="R42" s="10">
        <f>+L42-O42</f>
        <v>-15</v>
      </c>
      <c r="S42" s="10">
        <f>+R42-30</f>
        <v>-45</v>
      </c>
    </row>
    <row r="43" spans="1:19" ht="15" x14ac:dyDescent="0.25">
      <c r="A43" s="190" t="s">
        <v>287</v>
      </c>
      <c r="B43" s="192">
        <v>45260</v>
      </c>
      <c r="C43" s="190" t="s">
        <v>620</v>
      </c>
      <c r="D43" s="194">
        <v>184.6</v>
      </c>
      <c r="E43">
        <v>21</v>
      </c>
      <c r="L43" s="192">
        <v>45260</v>
      </c>
      <c r="N43" s="108">
        <v>45275</v>
      </c>
      <c r="O43" s="108">
        <v>45275</v>
      </c>
      <c r="P43" s="10">
        <f>+L43-N43</f>
        <v>-15</v>
      </c>
      <c r="Q43" s="10">
        <f>+N43-O43</f>
        <v>0</v>
      </c>
      <c r="R43" s="10">
        <f>+L43-O43</f>
        <v>-15</v>
      </c>
      <c r="S43" s="10">
        <f>+R43-30</f>
        <v>-45</v>
      </c>
    </row>
    <row r="44" spans="1:19" ht="15" x14ac:dyDescent="0.25">
      <c r="A44" s="190" t="s">
        <v>299</v>
      </c>
      <c r="B44" s="192">
        <v>45254</v>
      </c>
      <c r="C44" s="190" t="s">
        <v>632</v>
      </c>
      <c r="D44" s="194">
        <v>151.25</v>
      </c>
      <c r="E44">
        <v>21</v>
      </c>
      <c r="L44" s="192">
        <v>45254</v>
      </c>
      <c r="N44" s="108">
        <v>45275</v>
      </c>
      <c r="O44" s="108">
        <v>45275</v>
      </c>
      <c r="P44" s="10">
        <f>+L44-N44</f>
        <v>-21</v>
      </c>
      <c r="Q44" s="10">
        <f>+N44-O44</f>
        <v>0</v>
      </c>
      <c r="R44" s="10">
        <f>+L44-O44</f>
        <v>-21</v>
      </c>
      <c r="S44" s="10">
        <f>+R44-30</f>
        <v>-51</v>
      </c>
    </row>
    <row r="45" spans="1:19" ht="15" x14ac:dyDescent="0.25">
      <c r="A45" s="190" t="s">
        <v>303</v>
      </c>
      <c r="B45" s="192">
        <v>45254</v>
      </c>
      <c r="C45" s="190" t="s">
        <v>636</v>
      </c>
      <c r="D45" s="194">
        <v>251.04</v>
      </c>
      <c r="E45">
        <v>21</v>
      </c>
      <c r="L45" s="192">
        <v>45254</v>
      </c>
      <c r="N45" s="108">
        <v>45275</v>
      </c>
      <c r="O45" s="108">
        <v>45275</v>
      </c>
      <c r="P45" s="10">
        <f>+L45-N45</f>
        <v>-21</v>
      </c>
      <c r="Q45" s="10">
        <f>+N45-O45</f>
        <v>0</v>
      </c>
      <c r="R45" s="10">
        <f>+L45-O45</f>
        <v>-21</v>
      </c>
      <c r="S45" s="10">
        <f>+R45-30</f>
        <v>-51</v>
      </c>
    </row>
    <row r="46" spans="1:19" ht="15" x14ac:dyDescent="0.25">
      <c r="A46" s="190" t="s">
        <v>335</v>
      </c>
      <c r="B46" s="192">
        <v>45273</v>
      </c>
      <c r="C46" s="190" t="s">
        <v>668</v>
      </c>
      <c r="D46" s="194">
        <v>184.6</v>
      </c>
      <c r="E46">
        <v>21</v>
      </c>
      <c r="L46" s="192">
        <v>45273</v>
      </c>
      <c r="N46" s="108">
        <v>45275</v>
      </c>
      <c r="O46" s="108">
        <v>45275</v>
      </c>
      <c r="P46" s="10">
        <f>+L46-N46</f>
        <v>-2</v>
      </c>
      <c r="Q46" s="10">
        <f>+N46-O46</f>
        <v>0</v>
      </c>
      <c r="R46" s="10">
        <f>+L46-O46</f>
        <v>-2</v>
      </c>
      <c r="S46" s="10">
        <f>+R46-30</f>
        <v>-32</v>
      </c>
    </row>
    <row r="47" spans="1:19" ht="15" x14ac:dyDescent="0.25">
      <c r="A47" s="190" t="s">
        <v>357</v>
      </c>
      <c r="B47" s="192">
        <v>45278</v>
      </c>
      <c r="C47" s="190" t="s">
        <v>690</v>
      </c>
      <c r="D47" s="194">
        <v>217.8</v>
      </c>
      <c r="E47">
        <v>21</v>
      </c>
      <c r="L47" s="192">
        <v>45278</v>
      </c>
      <c r="N47" s="108">
        <v>45280</v>
      </c>
      <c r="O47" s="108">
        <v>45280</v>
      </c>
      <c r="P47" s="10">
        <f>+L47-N47</f>
        <v>-2</v>
      </c>
      <c r="Q47" s="10">
        <f>+N47-O47</f>
        <v>0</v>
      </c>
      <c r="R47" s="10">
        <f>+L47-O47</f>
        <v>-2</v>
      </c>
      <c r="S47" s="10">
        <f>+R47-30</f>
        <v>-32</v>
      </c>
    </row>
    <row r="48" spans="1:19" ht="15" x14ac:dyDescent="0.25">
      <c r="A48" s="190" t="s">
        <v>361</v>
      </c>
      <c r="B48" s="192">
        <v>45278</v>
      </c>
      <c r="C48" s="190" t="s">
        <v>694</v>
      </c>
      <c r="D48" s="194">
        <v>161.91</v>
      </c>
      <c r="E48">
        <v>21</v>
      </c>
      <c r="L48" s="192">
        <v>45278</v>
      </c>
      <c r="N48" s="108">
        <v>45280</v>
      </c>
      <c r="O48" s="108">
        <v>45280</v>
      </c>
      <c r="P48" s="10">
        <f>+L48-N48</f>
        <v>-2</v>
      </c>
      <c r="Q48" s="10">
        <f>+N48-O48</f>
        <v>0</v>
      </c>
      <c r="R48" s="10">
        <f>+L48-O48</f>
        <v>-2</v>
      </c>
      <c r="S48" s="10">
        <f>+R48-30</f>
        <v>-32</v>
      </c>
    </row>
    <row r="49" spans="1:19" ht="15" x14ac:dyDescent="0.25">
      <c r="A49" s="190" t="s">
        <v>362</v>
      </c>
      <c r="B49" s="192">
        <v>45278</v>
      </c>
      <c r="C49" s="190" t="s">
        <v>695</v>
      </c>
      <c r="D49" s="194">
        <v>8.23</v>
      </c>
      <c r="E49">
        <v>21</v>
      </c>
      <c r="L49" s="192">
        <v>45278</v>
      </c>
      <c r="N49" s="108">
        <v>45280</v>
      </c>
      <c r="O49" s="108">
        <v>45280</v>
      </c>
      <c r="P49" s="10">
        <f>+L49-N49</f>
        <v>-2</v>
      </c>
      <c r="Q49" s="10">
        <f>+N49-O49</f>
        <v>0</v>
      </c>
      <c r="R49" s="10">
        <f>+L49-O49</f>
        <v>-2</v>
      </c>
      <c r="S49" s="10">
        <f>+R49-30</f>
        <v>-32</v>
      </c>
    </row>
    <row r="50" spans="1:19" ht="15" x14ac:dyDescent="0.25">
      <c r="A50" s="190" t="s">
        <v>363</v>
      </c>
      <c r="B50" s="192">
        <v>45278</v>
      </c>
      <c r="C50" s="190" t="s">
        <v>696</v>
      </c>
      <c r="D50" s="194">
        <v>49.39</v>
      </c>
      <c r="E50">
        <v>21</v>
      </c>
      <c r="L50" s="192">
        <v>45278</v>
      </c>
      <c r="N50" s="108">
        <v>45280</v>
      </c>
      <c r="O50" s="108">
        <v>45280</v>
      </c>
      <c r="P50" s="10">
        <f>+L50-N50</f>
        <v>-2</v>
      </c>
      <c r="Q50" s="10">
        <f>+N50-O50</f>
        <v>0</v>
      </c>
      <c r="R50" s="10">
        <f>+L50-O50</f>
        <v>-2</v>
      </c>
      <c r="S50" s="10">
        <f>+R50-30</f>
        <v>-32</v>
      </c>
    </row>
    <row r="51" spans="1:19" ht="15" x14ac:dyDescent="0.25">
      <c r="A51" s="190" t="s">
        <v>120</v>
      </c>
      <c r="B51" s="192">
        <v>45203</v>
      </c>
      <c r="C51" s="190" t="s">
        <v>455</v>
      </c>
      <c r="D51" s="194">
        <v>2167.62</v>
      </c>
      <c r="E51">
        <v>22</v>
      </c>
      <c r="L51" s="192">
        <v>45203</v>
      </c>
      <c r="N51" s="108">
        <v>45215</v>
      </c>
      <c r="O51" s="108">
        <v>45215</v>
      </c>
      <c r="P51" s="10">
        <f>+L51-N51</f>
        <v>-12</v>
      </c>
      <c r="Q51" s="10">
        <f>+N51-O51</f>
        <v>0</v>
      </c>
      <c r="R51" s="10">
        <f>+L51-O51</f>
        <v>-12</v>
      </c>
      <c r="S51" s="10">
        <f>+R51-30</f>
        <v>-42</v>
      </c>
    </row>
    <row r="52" spans="1:19" ht="15" x14ac:dyDescent="0.25">
      <c r="A52" s="190" t="s">
        <v>123</v>
      </c>
      <c r="B52" s="192">
        <v>45201</v>
      </c>
      <c r="C52" s="190" t="s">
        <v>458</v>
      </c>
      <c r="D52" s="194">
        <v>151.13</v>
      </c>
      <c r="E52">
        <v>22</v>
      </c>
      <c r="L52" s="192">
        <v>45201</v>
      </c>
      <c r="N52" s="108">
        <v>45215</v>
      </c>
      <c r="O52" s="108">
        <v>45215</v>
      </c>
      <c r="P52" s="10">
        <f>+L52-N52</f>
        <v>-14</v>
      </c>
      <c r="Q52" s="10">
        <f>+N52-O52</f>
        <v>0</v>
      </c>
      <c r="R52" s="10">
        <f>+L52-O52</f>
        <v>-14</v>
      </c>
      <c r="S52" s="10">
        <f>+R52-30</f>
        <v>-44</v>
      </c>
    </row>
    <row r="53" spans="1:19" ht="15" x14ac:dyDescent="0.25">
      <c r="A53" s="190" t="s">
        <v>133</v>
      </c>
      <c r="B53" s="192">
        <v>45204</v>
      </c>
      <c r="C53" s="190" t="s">
        <v>468</v>
      </c>
      <c r="D53" s="194">
        <v>15.45</v>
      </c>
      <c r="E53">
        <v>22</v>
      </c>
      <c r="L53" s="192">
        <v>45204</v>
      </c>
      <c r="N53" s="108">
        <v>45224</v>
      </c>
      <c r="O53" s="108">
        <v>45224</v>
      </c>
      <c r="P53" s="10">
        <f>+L53-N53</f>
        <v>-20</v>
      </c>
      <c r="Q53" s="10">
        <f>+N53-O53</f>
        <v>0</v>
      </c>
      <c r="R53" s="10">
        <f>+L53-O53</f>
        <v>-20</v>
      </c>
      <c r="S53" s="10">
        <f>+R53-30</f>
        <v>-50</v>
      </c>
    </row>
    <row r="54" spans="1:19" ht="15" x14ac:dyDescent="0.25">
      <c r="A54" s="190" t="s">
        <v>135</v>
      </c>
      <c r="B54" s="192">
        <v>45200</v>
      </c>
      <c r="C54" s="190" t="s">
        <v>470</v>
      </c>
      <c r="D54" s="194">
        <v>614.34</v>
      </c>
      <c r="E54">
        <v>22</v>
      </c>
      <c r="L54" s="192">
        <v>45200</v>
      </c>
      <c r="N54" s="108">
        <v>45229</v>
      </c>
      <c r="O54" s="108">
        <v>45229</v>
      </c>
      <c r="P54" s="10">
        <f>+L54-N54</f>
        <v>-29</v>
      </c>
      <c r="Q54" s="10">
        <f>+N54-O54</f>
        <v>0</v>
      </c>
      <c r="R54" s="10">
        <f>+L54-O54</f>
        <v>-29</v>
      </c>
      <c r="S54" s="10">
        <f>+R54-30</f>
        <v>-59</v>
      </c>
    </row>
    <row r="55" spans="1:19" ht="15" x14ac:dyDescent="0.25">
      <c r="A55" s="190" t="s">
        <v>137</v>
      </c>
      <c r="B55" s="192">
        <v>45218</v>
      </c>
      <c r="C55" s="190" t="s">
        <v>472</v>
      </c>
      <c r="D55" s="194">
        <v>30.97</v>
      </c>
      <c r="E55">
        <v>22</v>
      </c>
      <c r="L55" s="192">
        <v>45218</v>
      </c>
      <c r="N55" s="108">
        <v>45232</v>
      </c>
      <c r="O55" s="108">
        <v>45232</v>
      </c>
      <c r="P55" s="10">
        <f>+L55-N55</f>
        <v>-14</v>
      </c>
      <c r="Q55" s="10">
        <f>+N55-O55</f>
        <v>0</v>
      </c>
      <c r="R55" s="10">
        <f>+L55-O55</f>
        <v>-14</v>
      </c>
      <c r="S55" s="10">
        <f>+R55-30</f>
        <v>-44</v>
      </c>
    </row>
    <row r="56" spans="1:19" ht="15" x14ac:dyDescent="0.25">
      <c r="A56" s="190" t="s">
        <v>154</v>
      </c>
      <c r="B56" s="192">
        <v>45218</v>
      </c>
      <c r="C56" s="190" t="s">
        <v>489</v>
      </c>
      <c r="D56" s="194">
        <v>113.59</v>
      </c>
      <c r="E56">
        <v>22</v>
      </c>
      <c r="L56" s="192">
        <v>45218</v>
      </c>
      <c r="N56" s="108">
        <v>45229</v>
      </c>
      <c r="O56" s="108">
        <v>45229</v>
      </c>
      <c r="P56" s="10">
        <f>+L56-N56</f>
        <v>-11</v>
      </c>
      <c r="Q56" s="10">
        <f>+N56-O56</f>
        <v>0</v>
      </c>
      <c r="R56" s="10">
        <f>+L56-O56</f>
        <v>-11</v>
      </c>
      <c r="S56" s="10">
        <f>+R56-30</f>
        <v>-41</v>
      </c>
    </row>
    <row r="57" spans="1:19" ht="15" x14ac:dyDescent="0.25">
      <c r="A57" s="190" t="s">
        <v>155</v>
      </c>
      <c r="B57" s="192">
        <v>45222</v>
      </c>
      <c r="C57" s="190" t="s">
        <v>490</v>
      </c>
      <c r="D57" s="194">
        <v>22</v>
      </c>
      <c r="E57">
        <v>22</v>
      </c>
      <c r="L57" s="192">
        <v>45222</v>
      </c>
      <c r="N57" s="108">
        <v>45229</v>
      </c>
      <c r="O57" s="108">
        <v>45229</v>
      </c>
      <c r="P57" s="10">
        <f>+L57-N57</f>
        <v>-7</v>
      </c>
      <c r="Q57" s="10">
        <f>+N57-O57</f>
        <v>0</v>
      </c>
      <c r="R57" s="10">
        <f>+L57-O57</f>
        <v>-7</v>
      </c>
      <c r="S57" s="10">
        <f>+R57-30</f>
        <v>-37</v>
      </c>
    </row>
    <row r="58" spans="1:19" ht="15" x14ac:dyDescent="0.25">
      <c r="A58" s="190" t="s">
        <v>164</v>
      </c>
      <c r="B58" s="192">
        <v>45200</v>
      </c>
      <c r="C58" s="190" t="s">
        <v>499</v>
      </c>
      <c r="D58" s="194">
        <v>140.94</v>
      </c>
      <c r="E58">
        <v>22</v>
      </c>
      <c r="L58" s="192">
        <v>45200</v>
      </c>
      <c r="N58" s="108">
        <v>45229</v>
      </c>
      <c r="O58" s="108">
        <v>45229</v>
      </c>
      <c r="P58" s="10">
        <f>+L58-N58</f>
        <v>-29</v>
      </c>
      <c r="Q58" s="10">
        <f>+N58-O58</f>
        <v>0</v>
      </c>
      <c r="R58" s="10">
        <f>+L58-O58</f>
        <v>-29</v>
      </c>
      <c r="S58" s="10">
        <f>+R58-30</f>
        <v>-59</v>
      </c>
    </row>
    <row r="59" spans="1:19" ht="15" x14ac:dyDescent="0.25">
      <c r="A59" s="190" t="s">
        <v>166</v>
      </c>
      <c r="B59" s="192">
        <v>45224</v>
      </c>
      <c r="C59" s="190" t="s">
        <v>501</v>
      </c>
      <c r="D59" s="194">
        <v>47.8</v>
      </c>
      <c r="E59">
        <v>22</v>
      </c>
      <c r="L59" s="192">
        <v>45224</v>
      </c>
      <c r="N59" s="108">
        <v>45229</v>
      </c>
      <c r="O59" s="108">
        <v>45229</v>
      </c>
      <c r="P59" s="10">
        <f>+L59-N59</f>
        <v>-5</v>
      </c>
      <c r="Q59" s="10">
        <f>+N59-O59</f>
        <v>0</v>
      </c>
      <c r="R59" s="10">
        <f>+L59-O59</f>
        <v>-5</v>
      </c>
      <c r="S59" s="10">
        <f>+R59-30</f>
        <v>-35</v>
      </c>
    </row>
    <row r="60" spans="1:19" ht="15" x14ac:dyDescent="0.25">
      <c r="A60" s="190" t="s">
        <v>167</v>
      </c>
      <c r="B60" s="192">
        <v>45209</v>
      </c>
      <c r="C60" s="190" t="s">
        <v>502</v>
      </c>
      <c r="D60" s="194">
        <v>158.53</v>
      </c>
      <c r="E60">
        <v>22</v>
      </c>
      <c r="L60" s="192">
        <v>45209</v>
      </c>
      <c r="N60" s="108">
        <v>45229</v>
      </c>
      <c r="O60" s="108">
        <v>45229</v>
      </c>
      <c r="P60" s="10">
        <f>+L60-N60</f>
        <v>-20</v>
      </c>
      <c r="Q60" s="10">
        <f>+N60-O60</f>
        <v>0</v>
      </c>
      <c r="R60" s="10">
        <f>+L60-O60</f>
        <v>-20</v>
      </c>
      <c r="S60" s="10">
        <f>+R60-30</f>
        <v>-50</v>
      </c>
    </row>
    <row r="61" spans="1:19" ht="15" x14ac:dyDescent="0.25">
      <c r="A61" s="190" t="s">
        <v>169</v>
      </c>
      <c r="B61" s="192">
        <v>45223</v>
      </c>
      <c r="C61" s="190" t="s">
        <v>504</v>
      </c>
      <c r="D61" s="194">
        <v>211.12</v>
      </c>
      <c r="E61">
        <v>22</v>
      </c>
      <c r="L61" s="192">
        <v>45223</v>
      </c>
      <c r="N61" s="108">
        <v>45232</v>
      </c>
      <c r="O61" s="108">
        <v>45232</v>
      </c>
      <c r="P61" s="10">
        <f>+L61-N61</f>
        <v>-9</v>
      </c>
      <c r="Q61" s="10">
        <f>+N61-O61</f>
        <v>0</v>
      </c>
      <c r="R61" s="10">
        <f>+L61-O61</f>
        <v>-9</v>
      </c>
      <c r="S61" s="10">
        <f>+R61-30</f>
        <v>-39</v>
      </c>
    </row>
    <row r="62" spans="1:19" ht="15" x14ac:dyDescent="0.25">
      <c r="A62" s="190" t="s">
        <v>171</v>
      </c>
      <c r="B62" s="192">
        <v>45225</v>
      </c>
      <c r="C62" s="190" t="s">
        <v>506</v>
      </c>
      <c r="D62" s="194">
        <v>9.85</v>
      </c>
      <c r="E62">
        <v>22</v>
      </c>
      <c r="L62" s="192">
        <v>45225</v>
      </c>
      <c r="N62" s="108">
        <v>45232</v>
      </c>
      <c r="O62" s="108">
        <v>45232</v>
      </c>
      <c r="P62" s="10">
        <f>+L62-N62</f>
        <v>-7</v>
      </c>
      <c r="Q62" s="10">
        <f>+N62-O62</f>
        <v>0</v>
      </c>
      <c r="R62" s="10">
        <f>+L62-O62</f>
        <v>-7</v>
      </c>
      <c r="S62" s="10">
        <f>+R62-30</f>
        <v>-37</v>
      </c>
    </row>
    <row r="63" spans="1:19" ht="15" x14ac:dyDescent="0.25">
      <c r="A63" s="190" t="s">
        <v>172</v>
      </c>
      <c r="B63" s="192">
        <v>45216</v>
      </c>
      <c r="C63" s="190" t="s">
        <v>507</v>
      </c>
      <c r="D63" s="194">
        <v>179.94</v>
      </c>
      <c r="E63">
        <v>22</v>
      </c>
      <c r="L63" s="192">
        <v>45216</v>
      </c>
      <c r="N63" s="108">
        <v>45231</v>
      </c>
      <c r="O63" s="108">
        <v>45231</v>
      </c>
      <c r="P63" s="10">
        <f>+L63-N63</f>
        <v>-15</v>
      </c>
      <c r="Q63" s="10">
        <f>+N63-O63</f>
        <v>0</v>
      </c>
      <c r="R63" s="10">
        <f>+L63-O63</f>
        <v>-15</v>
      </c>
      <c r="S63" s="10">
        <f>+R63-30</f>
        <v>-45</v>
      </c>
    </row>
    <row r="64" spans="1:19" ht="15" x14ac:dyDescent="0.25">
      <c r="A64" s="190" t="s">
        <v>185</v>
      </c>
      <c r="B64" s="192">
        <v>45225</v>
      </c>
      <c r="C64" s="190" t="s">
        <v>520</v>
      </c>
      <c r="D64" s="194">
        <v>4.07</v>
      </c>
      <c r="E64">
        <v>22</v>
      </c>
      <c r="L64" s="192">
        <v>45225</v>
      </c>
      <c r="N64" s="108">
        <v>45232</v>
      </c>
      <c r="O64" s="108">
        <v>45232</v>
      </c>
      <c r="P64" s="10">
        <f>+L64-N64</f>
        <v>-7</v>
      </c>
      <c r="Q64" s="10">
        <f>+N64-O64</f>
        <v>0</v>
      </c>
      <c r="R64" s="10">
        <f>+L64-O64</f>
        <v>-7</v>
      </c>
      <c r="S64" s="10">
        <f>+R64-30</f>
        <v>-37</v>
      </c>
    </row>
    <row r="65" spans="1:19" ht="15" x14ac:dyDescent="0.25">
      <c r="A65" s="190" t="s">
        <v>205</v>
      </c>
      <c r="B65" s="192">
        <v>45230</v>
      </c>
      <c r="C65" s="190" t="s">
        <v>540</v>
      </c>
      <c r="D65" s="194">
        <v>238.64</v>
      </c>
      <c r="E65">
        <v>22</v>
      </c>
      <c r="L65" s="192">
        <v>45230</v>
      </c>
      <c r="N65" s="108">
        <v>45260</v>
      </c>
      <c r="O65" s="108">
        <v>45260</v>
      </c>
      <c r="P65" s="10">
        <f>+L65-N65</f>
        <v>-30</v>
      </c>
      <c r="Q65" s="10">
        <f>+N65-O65</f>
        <v>0</v>
      </c>
      <c r="R65" s="10">
        <f>+L65-O65</f>
        <v>-30</v>
      </c>
      <c r="S65" s="10">
        <f>+R65-30</f>
        <v>-60</v>
      </c>
    </row>
    <row r="66" spans="1:19" ht="15" x14ac:dyDescent="0.25">
      <c r="A66" s="190" t="s">
        <v>221</v>
      </c>
      <c r="B66" s="192">
        <v>45230</v>
      </c>
      <c r="C66" s="190" t="s">
        <v>556</v>
      </c>
      <c r="D66" s="194">
        <v>677.06</v>
      </c>
      <c r="E66">
        <v>22</v>
      </c>
      <c r="L66" s="192">
        <v>45230</v>
      </c>
      <c r="N66" s="108">
        <v>45243</v>
      </c>
      <c r="O66" s="108">
        <v>45243</v>
      </c>
      <c r="P66" s="10">
        <f>+L66-N66</f>
        <v>-13</v>
      </c>
      <c r="Q66" s="10">
        <f>+N66-O66</f>
        <v>0</v>
      </c>
      <c r="R66" s="10">
        <f>+L66-O66</f>
        <v>-13</v>
      </c>
      <c r="S66" s="10">
        <f>+R66-30</f>
        <v>-43</v>
      </c>
    </row>
    <row r="67" spans="1:19" ht="15" x14ac:dyDescent="0.25">
      <c r="A67" s="190" t="s">
        <v>228</v>
      </c>
      <c r="B67" s="192">
        <v>45239</v>
      </c>
      <c r="C67" s="190" t="s">
        <v>562</v>
      </c>
      <c r="D67" s="194">
        <v>14.55</v>
      </c>
      <c r="E67">
        <v>22</v>
      </c>
      <c r="L67" s="192">
        <v>45239</v>
      </c>
      <c r="N67" s="108">
        <v>45247</v>
      </c>
      <c r="O67" s="108">
        <v>45247</v>
      </c>
      <c r="P67" s="10">
        <f>+L67-N67</f>
        <v>-8</v>
      </c>
      <c r="Q67" s="10">
        <f>+N67-O67</f>
        <v>0</v>
      </c>
      <c r="R67" s="10">
        <f>+L67-O67</f>
        <v>-8</v>
      </c>
      <c r="S67" s="10">
        <f>+R67-30</f>
        <v>-38</v>
      </c>
    </row>
    <row r="68" spans="1:19" ht="15" x14ac:dyDescent="0.25">
      <c r="A68" s="190" t="s">
        <v>230</v>
      </c>
      <c r="B68" s="192">
        <v>45237</v>
      </c>
      <c r="C68" s="190" t="s">
        <v>564</v>
      </c>
      <c r="D68" s="194">
        <v>5990.4</v>
      </c>
      <c r="E68">
        <v>22</v>
      </c>
      <c r="L68" s="192">
        <v>45237</v>
      </c>
      <c r="N68" s="108">
        <v>45243</v>
      </c>
      <c r="O68" s="108">
        <v>45243</v>
      </c>
      <c r="P68" s="10">
        <f>+L68-N68</f>
        <v>-6</v>
      </c>
      <c r="Q68" s="10">
        <f>+N68-O68</f>
        <v>0</v>
      </c>
      <c r="R68" s="10">
        <f>+L68-O68</f>
        <v>-6</v>
      </c>
      <c r="S68" s="10">
        <f>+R68-30</f>
        <v>-36</v>
      </c>
    </row>
    <row r="69" spans="1:19" ht="15" x14ac:dyDescent="0.25">
      <c r="A69" s="190" t="s">
        <v>237</v>
      </c>
      <c r="B69" s="192">
        <v>45243</v>
      </c>
      <c r="C69" s="190" t="s">
        <v>570</v>
      </c>
      <c r="D69" s="194">
        <v>4873.05</v>
      </c>
      <c r="E69">
        <v>22</v>
      </c>
      <c r="L69" s="192">
        <v>45243</v>
      </c>
      <c r="N69" s="108">
        <v>45243</v>
      </c>
      <c r="O69" s="108">
        <v>45243</v>
      </c>
      <c r="P69" s="10">
        <f>+L69-N69</f>
        <v>0</v>
      </c>
      <c r="Q69" s="10">
        <f>+N69-O69</f>
        <v>0</v>
      </c>
      <c r="R69" s="10">
        <f>+L69-O69</f>
        <v>0</v>
      </c>
      <c r="S69" s="10">
        <f>+R69-30</f>
        <v>-30</v>
      </c>
    </row>
    <row r="70" spans="1:19" ht="15" x14ac:dyDescent="0.25">
      <c r="A70" s="190" t="s">
        <v>238</v>
      </c>
      <c r="B70" s="192">
        <v>45232</v>
      </c>
      <c r="C70" s="190" t="s">
        <v>571</v>
      </c>
      <c r="D70" s="194">
        <v>8.19</v>
      </c>
      <c r="E70">
        <v>22</v>
      </c>
      <c r="L70" s="192">
        <v>45232</v>
      </c>
      <c r="N70" s="108">
        <v>45247</v>
      </c>
      <c r="O70" s="108">
        <v>45247</v>
      </c>
      <c r="P70" s="10">
        <f>+L70-N70</f>
        <v>-15</v>
      </c>
      <c r="Q70" s="10">
        <f>+N70-O70</f>
        <v>0</v>
      </c>
      <c r="R70" s="10">
        <f>+L70-O70</f>
        <v>-15</v>
      </c>
      <c r="S70" s="10">
        <f>+R70-30</f>
        <v>-45</v>
      </c>
    </row>
    <row r="71" spans="1:19" ht="15" x14ac:dyDescent="0.25">
      <c r="A71" s="190" t="s">
        <v>242</v>
      </c>
      <c r="B71" s="192">
        <v>45243</v>
      </c>
      <c r="C71" s="190" t="s">
        <v>575</v>
      </c>
      <c r="D71" s="194">
        <v>11007.36</v>
      </c>
      <c r="E71">
        <v>22</v>
      </c>
      <c r="L71" s="192">
        <v>45243</v>
      </c>
      <c r="N71" s="108">
        <v>45259</v>
      </c>
      <c r="O71" s="108">
        <v>45259</v>
      </c>
      <c r="P71" s="10">
        <f>+L71-N71</f>
        <v>-16</v>
      </c>
      <c r="Q71" s="10">
        <f>+N71-O71</f>
        <v>0</v>
      </c>
      <c r="R71" s="10">
        <f>+L71-O71</f>
        <v>-16</v>
      </c>
      <c r="S71" s="10">
        <f>+R71-30</f>
        <v>-46</v>
      </c>
    </row>
    <row r="72" spans="1:19" ht="15" x14ac:dyDescent="0.25">
      <c r="A72" s="190" t="s">
        <v>248</v>
      </c>
      <c r="B72" s="192">
        <v>45229</v>
      </c>
      <c r="C72" s="190" t="s">
        <v>581</v>
      </c>
      <c r="D72" s="194">
        <v>719.8</v>
      </c>
      <c r="E72">
        <v>22</v>
      </c>
      <c r="L72" s="192">
        <v>45229</v>
      </c>
      <c r="N72" s="108">
        <v>45261</v>
      </c>
      <c r="O72" s="108">
        <v>45261</v>
      </c>
      <c r="P72" s="10">
        <f>+L72-N72</f>
        <v>-32</v>
      </c>
      <c r="Q72" s="10">
        <f>+N72-O72</f>
        <v>0</v>
      </c>
      <c r="R72" s="10">
        <f>+L72-O72</f>
        <v>-32</v>
      </c>
      <c r="S72" s="10">
        <f>+R72-30</f>
        <v>-62</v>
      </c>
    </row>
    <row r="73" spans="1:19" ht="15" x14ac:dyDescent="0.25">
      <c r="A73" s="190" t="s">
        <v>251</v>
      </c>
      <c r="B73" s="192">
        <v>45244</v>
      </c>
      <c r="C73" s="190" t="s">
        <v>584</v>
      </c>
      <c r="D73" s="194">
        <v>148.93</v>
      </c>
      <c r="E73">
        <v>22</v>
      </c>
      <c r="L73" s="192">
        <v>45244</v>
      </c>
      <c r="N73" s="108">
        <v>45252</v>
      </c>
      <c r="O73" s="108">
        <v>45252</v>
      </c>
      <c r="P73" s="10">
        <f>+L73-N73</f>
        <v>-8</v>
      </c>
      <c r="Q73" s="10">
        <f>+N73-O73</f>
        <v>0</v>
      </c>
      <c r="R73" s="10">
        <f>+L73-O73</f>
        <v>-8</v>
      </c>
      <c r="S73" s="10">
        <f>+R73-30</f>
        <v>-38</v>
      </c>
    </row>
    <row r="74" spans="1:19" ht="15" x14ac:dyDescent="0.25">
      <c r="A74" s="190" t="s">
        <v>254</v>
      </c>
      <c r="B74" s="192">
        <v>45243</v>
      </c>
      <c r="C74" s="190" t="s">
        <v>587</v>
      </c>
      <c r="D74" s="194">
        <v>5579.28</v>
      </c>
      <c r="E74">
        <v>22</v>
      </c>
      <c r="L74" s="192">
        <v>45243</v>
      </c>
      <c r="N74" s="108">
        <v>45259</v>
      </c>
      <c r="O74" s="108">
        <v>45259</v>
      </c>
      <c r="P74" s="10">
        <f>+L74-N74</f>
        <v>-16</v>
      </c>
      <c r="Q74" s="10">
        <f>+N74-O74</f>
        <v>0</v>
      </c>
      <c r="R74" s="10">
        <f>+L74-O74</f>
        <v>-16</v>
      </c>
      <c r="S74" s="10">
        <f>+R74-30</f>
        <v>-46</v>
      </c>
    </row>
    <row r="75" spans="1:19" ht="15" x14ac:dyDescent="0.25">
      <c r="A75" s="190" t="s">
        <v>255</v>
      </c>
      <c r="B75" s="192">
        <v>45246</v>
      </c>
      <c r="C75" s="190" t="s">
        <v>588</v>
      </c>
      <c r="D75" s="194">
        <v>8.1</v>
      </c>
      <c r="E75">
        <v>22</v>
      </c>
      <c r="L75" s="192">
        <v>45246</v>
      </c>
      <c r="N75" s="108">
        <v>45265</v>
      </c>
      <c r="O75" s="108">
        <v>45265</v>
      </c>
      <c r="P75" s="10">
        <f>+L75-N75</f>
        <v>-19</v>
      </c>
      <c r="Q75" s="10">
        <f>+N75-O75</f>
        <v>0</v>
      </c>
      <c r="R75" s="10">
        <f>+L75-O75</f>
        <v>-19</v>
      </c>
      <c r="S75" s="10">
        <f>+R75-30</f>
        <v>-49</v>
      </c>
    </row>
    <row r="76" spans="1:19" ht="15" x14ac:dyDescent="0.25">
      <c r="A76" s="190" t="s">
        <v>263</v>
      </c>
      <c r="B76" s="192">
        <v>45250</v>
      </c>
      <c r="C76" s="190" t="s">
        <v>596</v>
      </c>
      <c r="D76" s="194">
        <v>67.95</v>
      </c>
      <c r="E76">
        <v>22</v>
      </c>
      <c r="L76" s="192">
        <v>45250</v>
      </c>
      <c r="N76" s="108">
        <v>45259</v>
      </c>
      <c r="O76" s="108">
        <v>45259</v>
      </c>
      <c r="P76" s="10">
        <f>+L76-N76</f>
        <v>-9</v>
      </c>
      <c r="Q76" s="10">
        <f>+N76-O76</f>
        <v>0</v>
      </c>
      <c r="R76" s="10">
        <f>+L76-O76</f>
        <v>-9</v>
      </c>
      <c r="S76" s="10">
        <f>+R76-30</f>
        <v>-39</v>
      </c>
    </row>
    <row r="77" spans="1:19" ht="15" x14ac:dyDescent="0.25">
      <c r="A77" s="190" t="s">
        <v>280</v>
      </c>
      <c r="B77" s="192">
        <v>45223</v>
      </c>
      <c r="C77" s="190" t="s">
        <v>613</v>
      </c>
      <c r="D77" s="194">
        <v>1845.94</v>
      </c>
      <c r="E77">
        <v>22</v>
      </c>
      <c r="L77" s="192">
        <v>45223</v>
      </c>
      <c r="N77" s="108">
        <v>45287</v>
      </c>
      <c r="O77" s="108">
        <v>45287</v>
      </c>
      <c r="P77" s="10">
        <f>+L77-N77</f>
        <v>-64</v>
      </c>
      <c r="Q77" s="10">
        <f>+N77-O77</f>
        <v>0</v>
      </c>
      <c r="R77" s="10">
        <f>+L77-O77</f>
        <v>-64</v>
      </c>
      <c r="S77" s="10">
        <f>+R77-30</f>
        <v>-94</v>
      </c>
    </row>
    <row r="78" spans="1:19" ht="15" x14ac:dyDescent="0.25">
      <c r="A78" s="190" t="s">
        <v>304</v>
      </c>
      <c r="B78" s="192">
        <v>45260</v>
      </c>
      <c r="C78" s="190" t="s">
        <v>637</v>
      </c>
      <c r="D78" s="194">
        <v>871.38</v>
      </c>
      <c r="E78">
        <v>22</v>
      </c>
      <c r="L78" s="192">
        <v>45260</v>
      </c>
      <c r="N78" s="108">
        <v>45275</v>
      </c>
      <c r="O78" s="108">
        <v>45275</v>
      </c>
      <c r="P78" s="10">
        <f>+L78-N78</f>
        <v>-15</v>
      </c>
      <c r="Q78" s="10">
        <f>+N78-O78</f>
        <v>0</v>
      </c>
      <c r="R78" s="10">
        <f>+L78-O78</f>
        <v>-15</v>
      </c>
      <c r="S78" s="10">
        <f>+R78-30</f>
        <v>-45</v>
      </c>
    </row>
    <row r="79" spans="1:19" ht="15" x14ac:dyDescent="0.25">
      <c r="A79" s="190" t="s">
        <v>306</v>
      </c>
      <c r="B79" s="192">
        <v>45261</v>
      </c>
      <c r="C79" s="190" t="s">
        <v>639</v>
      </c>
      <c r="D79" s="194">
        <v>12.02</v>
      </c>
      <c r="E79">
        <v>22</v>
      </c>
      <c r="L79" s="192">
        <v>45261</v>
      </c>
      <c r="N79" s="108">
        <v>45279</v>
      </c>
      <c r="O79" s="108">
        <v>45279</v>
      </c>
      <c r="P79" s="10">
        <f>+L79-N79</f>
        <v>-18</v>
      </c>
      <c r="Q79" s="10">
        <f>+N79-O79</f>
        <v>0</v>
      </c>
      <c r="R79" s="10">
        <f>+L79-O79</f>
        <v>-18</v>
      </c>
      <c r="S79" s="10">
        <f>+R79-30</f>
        <v>-48</v>
      </c>
    </row>
    <row r="80" spans="1:19" ht="15" x14ac:dyDescent="0.25">
      <c r="A80" s="190" t="s">
        <v>315</v>
      </c>
      <c r="B80" s="192">
        <v>45271</v>
      </c>
      <c r="C80" s="190" t="s">
        <v>648</v>
      </c>
      <c r="D80" s="194">
        <v>162.91</v>
      </c>
      <c r="E80">
        <v>22</v>
      </c>
      <c r="L80" s="192">
        <v>45271</v>
      </c>
      <c r="N80" s="108">
        <v>45275</v>
      </c>
      <c r="O80" s="108">
        <v>45275</v>
      </c>
      <c r="P80" s="10">
        <f>+L80-N80</f>
        <v>-4</v>
      </c>
      <c r="Q80" s="10">
        <f>+N80-O80</f>
        <v>0</v>
      </c>
      <c r="R80" s="10">
        <f>+L80-O80</f>
        <v>-4</v>
      </c>
      <c r="S80" s="10">
        <f>+R80-30</f>
        <v>-34</v>
      </c>
    </row>
    <row r="81" spans="1:19" ht="15" x14ac:dyDescent="0.25">
      <c r="A81" s="190" t="s">
        <v>348</v>
      </c>
      <c r="B81" s="192">
        <v>45274</v>
      </c>
      <c r="C81" s="190" t="s">
        <v>681</v>
      </c>
      <c r="D81" s="194">
        <v>4.26</v>
      </c>
      <c r="E81">
        <v>22</v>
      </c>
      <c r="L81" s="192">
        <v>45274</v>
      </c>
      <c r="N81" s="108">
        <v>45279</v>
      </c>
      <c r="O81" s="108">
        <v>45279</v>
      </c>
      <c r="P81" s="10">
        <f>+L81-N81</f>
        <v>-5</v>
      </c>
      <c r="Q81" s="10">
        <f>+N81-O81</f>
        <v>0</v>
      </c>
      <c r="R81" s="10">
        <f>+L81-O81</f>
        <v>-5</v>
      </c>
      <c r="S81" s="10">
        <f>+R81-30</f>
        <v>-35</v>
      </c>
    </row>
    <row r="82" spans="1:19" ht="15" x14ac:dyDescent="0.25">
      <c r="A82" s="190" t="s">
        <v>349</v>
      </c>
      <c r="B82" s="192">
        <v>45274</v>
      </c>
      <c r="C82" s="190" t="s">
        <v>682</v>
      </c>
      <c r="D82" s="194">
        <v>15.34</v>
      </c>
      <c r="E82">
        <v>22</v>
      </c>
      <c r="L82" s="192">
        <v>45274</v>
      </c>
      <c r="N82" s="108">
        <v>45279</v>
      </c>
      <c r="O82" s="108">
        <v>45279</v>
      </c>
      <c r="P82" s="10">
        <f>+L82-N82</f>
        <v>-5</v>
      </c>
      <c r="Q82" s="10">
        <f>+N82-O82</f>
        <v>0</v>
      </c>
      <c r="R82" s="10">
        <f>+L82-O82</f>
        <v>-5</v>
      </c>
      <c r="S82" s="10">
        <f>+R82-30</f>
        <v>-35</v>
      </c>
    </row>
    <row r="83" spans="1:19" ht="15" x14ac:dyDescent="0.25">
      <c r="A83" s="190" t="s">
        <v>352</v>
      </c>
      <c r="B83" s="192">
        <v>45273</v>
      </c>
      <c r="C83" s="190" t="s">
        <v>685</v>
      </c>
      <c r="D83" s="194">
        <v>102.46</v>
      </c>
      <c r="E83">
        <v>22</v>
      </c>
      <c r="L83" s="192">
        <v>45273</v>
      </c>
      <c r="N83" s="108">
        <v>45281</v>
      </c>
      <c r="O83" s="108">
        <v>45281</v>
      </c>
      <c r="P83" s="10">
        <f>+L83-N83</f>
        <v>-8</v>
      </c>
      <c r="Q83" s="10">
        <f>+N83-O83</f>
        <v>0</v>
      </c>
      <c r="R83" s="10">
        <f>+L83-O83</f>
        <v>-8</v>
      </c>
      <c r="S83" s="10">
        <f>+R83-30</f>
        <v>-38</v>
      </c>
    </row>
    <row r="84" spans="1:19" ht="15" x14ac:dyDescent="0.25">
      <c r="A84" s="190" t="s">
        <v>117</v>
      </c>
      <c r="B84" s="192">
        <v>45200</v>
      </c>
      <c r="C84" s="190" t="s">
        <v>452</v>
      </c>
      <c r="D84" s="194">
        <v>19.03</v>
      </c>
      <c r="E84">
        <v>29</v>
      </c>
      <c r="L84" s="192">
        <v>45200</v>
      </c>
      <c r="N84" s="108">
        <v>45200</v>
      </c>
      <c r="O84" s="108">
        <v>45200</v>
      </c>
      <c r="P84" s="10">
        <f>+L84-N84</f>
        <v>0</v>
      </c>
      <c r="Q84" s="10">
        <f>+N84-O84</f>
        <v>0</v>
      </c>
      <c r="R84" s="10">
        <f>+L84-O84</f>
        <v>0</v>
      </c>
      <c r="S84" s="10">
        <f>+R84-30</f>
        <v>-30</v>
      </c>
    </row>
    <row r="85" spans="1:19" ht="15" x14ac:dyDescent="0.25">
      <c r="A85" s="190" t="s">
        <v>118</v>
      </c>
      <c r="B85" s="192">
        <v>45200</v>
      </c>
      <c r="C85" s="190" t="s">
        <v>453</v>
      </c>
      <c r="D85" s="194">
        <v>137.34</v>
      </c>
      <c r="E85">
        <v>29</v>
      </c>
      <c r="L85" s="192">
        <v>45200</v>
      </c>
      <c r="N85" s="108">
        <v>45200</v>
      </c>
      <c r="O85" s="108">
        <v>45200</v>
      </c>
      <c r="P85" s="10">
        <f>+L85-N85</f>
        <v>0</v>
      </c>
      <c r="Q85" s="10">
        <f>+N85-O85</f>
        <v>0</v>
      </c>
      <c r="R85" s="10">
        <f>+L85-O85</f>
        <v>0</v>
      </c>
      <c r="S85" s="10">
        <f>+R85-30</f>
        <v>-30</v>
      </c>
    </row>
    <row r="86" spans="1:19" ht="15" x14ac:dyDescent="0.25">
      <c r="A86" s="190" t="s">
        <v>119</v>
      </c>
      <c r="B86" s="192">
        <v>45200</v>
      </c>
      <c r="C86" s="190" t="s">
        <v>454</v>
      </c>
      <c r="D86" s="194">
        <v>465.97</v>
      </c>
      <c r="E86">
        <v>29</v>
      </c>
      <c r="L86" s="192">
        <v>45200</v>
      </c>
      <c r="N86" s="108">
        <v>45204</v>
      </c>
      <c r="O86" s="108">
        <v>45204</v>
      </c>
      <c r="P86" s="10">
        <f>+L86-N86</f>
        <v>-4</v>
      </c>
      <c r="Q86" s="10">
        <f>+N86-O86</f>
        <v>0</v>
      </c>
      <c r="R86" s="10">
        <f>+L86-O86</f>
        <v>-4</v>
      </c>
      <c r="S86" s="10">
        <f>+R86-30</f>
        <v>-34</v>
      </c>
    </row>
    <row r="87" spans="1:19" ht="15" x14ac:dyDescent="0.25">
      <c r="A87" s="190" t="s">
        <v>124</v>
      </c>
      <c r="B87" s="192">
        <v>45200</v>
      </c>
      <c r="C87" s="190" t="s">
        <v>459</v>
      </c>
      <c r="D87" s="194">
        <v>226.88</v>
      </c>
      <c r="E87">
        <v>29</v>
      </c>
      <c r="L87" s="192">
        <v>45200</v>
      </c>
      <c r="N87" s="108">
        <v>45215</v>
      </c>
      <c r="O87" s="108">
        <v>45215</v>
      </c>
      <c r="P87" s="10">
        <f>+L87-N87</f>
        <v>-15</v>
      </c>
      <c r="Q87" s="10">
        <f>+N87-O87</f>
        <v>0</v>
      </c>
      <c r="R87" s="10">
        <f>+L87-O87</f>
        <v>-15</v>
      </c>
      <c r="S87" s="10">
        <f>+R87-30</f>
        <v>-45</v>
      </c>
    </row>
    <row r="88" spans="1:19" ht="15" x14ac:dyDescent="0.25">
      <c r="A88" s="190" t="s">
        <v>125</v>
      </c>
      <c r="B88" s="192">
        <v>45209</v>
      </c>
      <c r="C88" s="190" t="s">
        <v>460</v>
      </c>
      <c r="D88" s="194">
        <v>762.3</v>
      </c>
      <c r="E88">
        <v>29</v>
      </c>
      <c r="L88" s="192">
        <v>45209</v>
      </c>
      <c r="N88" s="108">
        <v>45215</v>
      </c>
      <c r="O88" s="108">
        <v>45215</v>
      </c>
      <c r="P88" s="10">
        <f>+L88-N88</f>
        <v>-6</v>
      </c>
      <c r="Q88" s="10">
        <f>+N88-O88</f>
        <v>0</v>
      </c>
      <c r="R88" s="10">
        <f>+L88-O88</f>
        <v>-6</v>
      </c>
      <c r="S88" s="10">
        <f>+R88-30</f>
        <v>-36</v>
      </c>
    </row>
    <row r="89" spans="1:19" ht="15" x14ac:dyDescent="0.25">
      <c r="A89" s="190" t="s">
        <v>126</v>
      </c>
      <c r="B89" s="192">
        <v>45204</v>
      </c>
      <c r="C89" s="190" t="s">
        <v>461</v>
      </c>
      <c r="D89" s="194">
        <v>1897.28</v>
      </c>
      <c r="E89">
        <v>29</v>
      </c>
      <c r="L89" s="192">
        <v>45204</v>
      </c>
      <c r="N89" s="108">
        <v>45215</v>
      </c>
      <c r="O89" s="108">
        <v>45215</v>
      </c>
      <c r="P89" s="10">
        <f>+L89-N89</f>
        <v>-11</v>
      </c>
      <c r="Q89" s="10">
        <f>+N89-O89</f>
        <v>0</v>
      </c>
      <c r="R89" s="10">
        <f>+L89-O89</f>
        <v>-11</v>
      </c>
      <c r="S89" s="10">
        <f>+R89-30</f>
        <v>-41</v>
      </c>
    </row>
    <row r="90" spans="1:19" ht="15" x14ac:dyDescent="0.25">
      <c r="A90" s="190" t="s">
        <v>128</v>
      </c>
      <c r="B90" s="192">
        <v>45208</v>
      </c>
      <c r="C90" s="190" t="s">
        <v>463</v>
      </c>
      <c r="D90" s="194">
        <v>2000</v>
      </c>
      <c r="E90">
        <v>29</v>
      </c>
      <c r="L90" s="192">
        <v>45208</v>
      </c>
      <c r="N90" s="108">
        <v>45215</v>
      </c>
      <c r="O90" s="108">
        <v>45215</v>
      </c>
      <c r="P90" s="10">
        <f>+L90-N90</f>
        <v>-7</v>
      </c>
      <c r="Q90" s="10">
        <f>+N90-O90</f>
        <v>0</v>
      </c>
      <c r="R90" s="10">
        <f>+L90-O90</f>
        <v>-7</v>
      </c>
      <c r="S90" s="10">
        <f>+R90-30</f>
        <v>-37</v>
      </c>
    </row>
    <row r="91" spans="1:19" ht="15" x14ac:dyDescent="0.25">
      <c r="A91" s="190" t="s">
        <v>129</v>
      </c>
      <c r="B91" s="192">
        <v>45208</v>
      </c>
      <c r="C91" s="190" t="s">
        <v>464</v>
      </c>
      <c r="D91" s="194">
        <v>60.5</v>
      </c>
      <c r="E91">
        <v>29</v>
      </c>
      <c r="L91" s="192">
        <v>45208</v>
      </c>
      <c r="N91" s="108">
        <v>45215</v>
      </c>
      <c r="O91" s="108">
        <v>45215</v>
      </c>
      <c r="P91" s="10">
        <f>+L91-N91</f>
        <v>-7</v>
      </c>
      <c r="Q91" s="10">
        <f>+N91-O91</f>
        <v>0</v>
      </c>
      <c r="R91" s="10">
        <f>+L91-O91</f>
        <v>-7</v>
      </c>
      <c r="S91" s="10">
        <f>+R91-30</f>
        <v>-37</v>
      </c>
    </row>
    <row r="92" spans="1:19" ht="15" x14ac:dyDescent="0.25">
      <c r="A92" s="190" t="s">
        <v>130</v>
      </c>
      <c r="B92" s="192">
        <v>45210</v>
      </c>
      <c r="C92" s="190" t="s">
        <v>465</v>
      </c>
      <c r="D92" s="194">
        <v>5762.99</v>
      </c>
      <c r="E92">
        <v>29</v>
      </c>
      <c r="L92" s="192">
        <v>45210</v>
      </c>
      <c r="N92" s="108">
        <v>45215</v>
      </c>
      <c r="O92" s="108">
        <v>45215</v>
      </c>
      <c r="P92" s="10">
        <f>+L92-N92</f>
        <v>-5</v>
      </c>
      <c r="Q92" s="10">
        <f>+N92-O92</f>
        <v>0</v>
      </c>
      <c r="R92" s="10">
        <f>+L92-O92</f>
        <v>-5</v>
      </c>
      <c r="S92" s="10">
        <f>+R92-30</f>
        <v>-35</v>
      </c>
    </row>
    <row r="93" spans="1:19" ht="15" x14ac:dyDescent="0.25">
      <c r="A93" s="190" t="s">
        <v>132</v>
      </c>
      <c r="B93" s="192">
        <v>45200</v>
      </c>
      <c r="C93" s="190" t="s">
        <v>467</v>
      </c>
      <c r="D93" s="194">
        <v>480.37</v>
      </c>
      <c r="E93">
        <v>29</v>
      </c>
      <c r="L93" s="192">
        <v>45200</v>
      </c>
      <c r="N93" s="108">
        <v>45210</v>
      </c>
      <c r="O93" s="108">
        <v>45210</v>
      </c>
      <c r="P93" s="10">
        <f>+L93-N93</f>
        <v>-10</v>
      </c>
      <c r="Q93" s="10">
        <f>+N93-O93</f>
        <v>0</v>
      </c>
      <c r="R93" s="10">
        <f>+L93-O93</f>
        <v>-10</v>
      </c>
      <c r="S93" s="10">
        <f>+R93-30</f>
        <v>-40</v>
      </c>
    </row>
    <row r="94" spans="1:19" ht="15" x14ac:dyDescent="0.25">
      <c r="A94" s="190" t="s">
        <v>136</v>
      </c>
      <c r="B94" s="192">
        <v>45218</v>
      </c>
      <c r="C94" s="190" t="s">
        <v>471</v>
      </c>
      <c r="D94" s="194">
        <v>4573.8</v>
      </c>
      <c r="E94">
        <v>29</v>
      </c>
      <c r="L94" s="192">
        <v>45218</v>
      </c>
      <c r="N94" s="108">
        <v>45219</v>
      </c>
      <c r="O94" s="108">
        <v>45219</v>
      </c>
      <c r="P94" s="10">
        <f>+L94-N94</f>
        <v>-1</v>
      </c>
      <c r="Q94" s="10">
        <f>+N94-O94</f>
        <v>0</v>
      </c>
      <c r="R94" s="10">
        <f>+L94-O94</f>
        <v>-1</v>
      </c>
      <c r="S94" s="10">
        <f>+R94-30</f>
        <v>-31</v>
      </c>
    </row>
    <row r="95" spans="1:19" ht="15" x14ac:dyDescent="0.25">
      <c r="A95" s="190" t="s">
        <v>139</v>
      </c>
      <c r="B95" s="192">
        <v>45200</v>
      </c>
      <c r="C95" s="190" t="s">
        <v>474</v>
      </c>
      <c r="D95" s="194">
        <v>1617.17</v>
      </c>
      <c r="E95">
        <v>29</v>
      </c>
      <c r="L95" s="192">
        <v>45200</v>
      </c>
      <c r="N95" s="108">
        <v>45219</v>
      </c>
      <c r="O95" s="108">
        <v>45219</v>
      </c>
      <c r="P95" s="10">
        <f>+L95-N95</f>
        <v>-19</v>
      </c>
      <c r="Q95" s="10">
        <f>+N95-O95</f>
        <v>0</v>
      </c>
      <c r="R95" s="10">
        <f>+L95-O95</f>
        <v>-19</v>
      </c>
      <c r="S95" s="10">
        <f>+R95-30</f>
        <v>-49</v>
      </c>
    </row>
    <row r="96" spans="1:19" ht="15" x14ac:dyDescent="0.25">
      <c r="A96" s="190" t="s">
        <v>140</v>
      </c>
      <c r="B96" s="192">
        <v>45200</v>
      </c>
      <c r="C96" s="190" t="s">
        <v>475</v>
      </c>
      <c r="D96" s="194">
        <v>12.32</v>
      </c>
      <c r="E96">
        <v>29</v>
      </c>
      <c r="L96" s="192">
        <v>45200</v>
      </c>
      <c r="N96" s="108">
        <v>45229</v>
      </c>
      <c r="O96" s="108">
        <v>45229</v>
      </c>
      <c r="P96" s="10">
        <f>+L96-N96</f>
        <v>-29</v>
      </c>
      <c r="Q96" s="10">
        <f>+N96-O96</f>
        <v>0</v>
      </c>
      <c r="R96" s="10">
        <f>+L96-O96</f>
        <v>-29</v>
      </c>
      <c r="S96" s="10">
        <f>+R96-30</f>
        <v>-59</v>
      </c>
    </row>
    <row r="97" spans="1:19" ht="15" x14ac:dyDescent="0.25">
      <c r="A97" s="190" t="s">
        <v>141</v>
      </c>
      <c r="B97" s="192">
        <v>45214</v>
      </c>
      <c r="C97" s="190" t="s">
        <v>476</v>
      </c>
      <c r="D97" s="194">
        <v>45.2</v>
      </c>
      <c r="E97">
        <v>29</v>
      </c>
      <c r="L97" s="192">
        <v>45214</v>
      </c>
      <c r="N97" s="108">
        <v>45216</v>
      </c>
      <c r="O97" s="108">
        <v>45216</v>
      </c>
      <c r="P97" s="10">
        <f>+L97-N97</f>
        <v>-2</v>
      </c>
      <c r="Q97" s="10">
        <f>+N97-O97</f>
        <v>0</v>
      </c>
      <c r="R97" s="10">
        <f>+L97-O97</f>
        <v>-2</v>
      </c>
      <c r="S97" s="10">
        <f>+R97-30</f>
        <v>-32</v>
      </c>
    </row>
    <row r="98" spans="1:19" ht="15" x14ac:dyDescent="0.25">
      <c r="A98" s="190" t="s">
        <v>142</v>
      </c>
      <c r="B98" s="192">
        <v>45214</v>
      </c>
      <c r="C98" s="190" t="s">
        <v>477</v>
      </c>
      <c r="D98" s="194">
        <v>94.5</v>
      </c>
      <c r="E98">
        <v>29</v>
      </c>
      <c r="L98" s="192">
        <v>45214</v>
      </c>
      <c r="N98" s="108">
        <v>45216</v>
      </c>
      <c r="O98" s="108">
        <v>45216</v>
      </c>
      <c r="P98" s="10">
        <f>+L98-N98</f>
        <v>-2</v>
      </c>
      <c r="Q98" s="10">
        <f>+N98-O98</f>
        <v>0</v>
      </c>
      <c r="R98" s="10">
        <f>+L98-O98</f>
        <v>-2</v>
      </c>
      <c r="S98" s="10">
        <f>+R98-30</f>
        <v>-32</v>
      </c>
    </row>
    <row r="99" spans="1:19" ht="15" x14ac:dyDescent="0.25">
      <c r="A99" s="190" t="s">
        <v>144</v>
      </c>
      <c r="B99" s="192">
        <v>45200</v>
      </c>
      <c r="C99" s="190" t="s">
        <v>479</v>
      </c>
      <c r="D99" s="194">
        <v>300</v>
      </c>
      <c r="E99">
        <v>29</v>
      </c>
      <c r="L99" s="192">
        <v>45200</v>
      </c>
      <c r="N99" s="108">
        <v>45229</v>
      </c>
      <c r="O99" s="108">
        <v>45229</v>
      </c>
      <c r="P99" s="10">
        <f>+L99-N99</f>
        <v>-29</v>
      </c>
      <c r="Q99" s="10">
        <f>+N99-O99</f>
        <v>0</v>
      </c>
      <c r="R99" s="10">
        <f>+L99-O99</f>
        <v>-29</v>
      </c>
      <c r="S99" s="10">
        <f>+R99-30</f>
        <v>-59</v>
      </c>
    </row>
    <row r="100" spans="1:19" ht="15" x14ac:dyDescent="0.25">
      <c r="A100" s="190" t="s">
        <v>145</v>
      </c>
      <c r="B100" s="192">
        <v>45200</v>
      </c>
      <c r="C100" s="190" t="s">
        <v>480</v>
      </c>
      <c r="D100" s="194">
        <v>490.88</v>
      </c>
      <c r="E100">
        <v>29</v>
      </c>
      <c r="L100" s="192">
        <v>45200</v>
      </c>
      <c r="N100" s="108">
        <v>45229</v>
      </c>
      <c r="O100" s="108">
        <v>45229</v>
      </c>
      <c r="P100" s="10">
        <f>+L100-N100</f>
        <v>-29</v>
      </c>
      <c r="Q100" s="10">
        <f>+N100-O100</f>
        <v>0</v>
      </c>
      <c r="R100" s="10">
        <f>+L100-O100</f>
        <v>-29</v>
      </c>
      <c r="S100" s="10">
        <f>+R100-30</f>
        <v>-59</v>
      </c>
    </row>
    <row r="101" spans="1:19" ht="15" x14ac:dyDescent="0.25">
      <c r="A101" s="190" t="s">
        <v>146</v>
      </c>
      <c r="B101" s="192">
        <v>45218</v>
      </c>
      <c r="C101" s="190" t="s">
        <v>481</v>
      </c>
      <c r="D101" s="194">
        <v>2774.53</v>
      </c>
      <c r="E101">
        <v>29</v>
      </c>
      <c r="L101" s="192">
        <v>45218</v>
      </c>
      <c r="N101" s="108">
        <v>45229</v>
      </c>
      <c r="O101" s="108">
        <v>45229</v>
      </c>
      <c r="P101" s="10">
        <f>+L101-N101</f>
        <v>-11</v>
      </c>
      <c r="Q101" s="10">
        <f>+N101-O101</f>
        <v>0</v>
      </c>
      <c r="R101" s="10">
        <f>+L101-O101</f>
        <v>-11</v>
      </c>
      <c r="S101" s="10">
        <f>+R101-30</f>
        <v>-41</v>
      </c>
    </row>
    <row r="102" spans="1:19" ht="15" x14ac:dyDescent="0.25">
      <c r="A102" s="190" t="s">
        <v>147</v>
      </c>
      <c r="B102" s="192">
        <v>45204</v>
      </c>
      <c r="C102" s="190" t="s">
        <v>482</v>
      </c>
      <c r="D102" s="194">
        <v>1070.5999999999999</v>
      </c>
      <c r="E102">
        <v>29</v>
      </c>
      <c r="L102" s="192">
        <v>45204</v>
      </c>
      <c r="N102" s="108">
        <v>45229</v>
      </c>
      <c r="O102" s="108">
        <v>45229</v>
      </c>
      <c r="P102" s="10">
        <f>+L102-N102</f>
        <v>-25</v>
      </c>
      <c r="Q102" s="10">
        <f>+N102-O102</f>
        <v>0</v>
      </c>
      <c r="R102" s="10">
        <f>+L102-O102</f>
        <v>-25</v>
      </c>
      <c r="S102" s="10">
        <f>+R102-30</f>
        <v>-55</v>
      </c>
    </row>
    <row r="103" spans="1:19" ht="15" x14ac:dyDescent="0.25">
      <c r="A103" s="190" t="s">
        <v>150</v>
      </c>
      <c r="B103" s="192">
        <v>45223</v>
      </c>
      <c r="C103" s="190" t="s">
        <v>485</v>
      </c>
      <c r="D103" s="194">
        <v>2057</v>
      </c>
      <c r="E103">
        <v>29</v>
      </c>
      <c r="L103" s="192">
        <v>45223</v>
      </c>
      <c r="N103" s="108">
        <v>45229</v>
      </c>
      <c r="O103" s="108">
        <v>45229</v>
      </c>
      <c r="P103" s="10">
        <f>+L103-N103</f>
        <v>-6</v>
      </c>
      <c r="Q103" s="10">
        <f>+N103-O103</f>
        <v>0</v>
      </c>
      <c r="R103" s="10">
        <f>+L103-O103</f>
        <v>-6</v>
      </c>
      <c r="S103" s="10">
        <f>+R103-30</f>
        <v>-36</v>
      </c>
    </row>
    <row r="104" spans="1:19" ht="15" x14ac:dyDescent="0.25">
      <c r="A104" s="190" t="s">
        <v>151</v>
      </c>
      <c r="B104" s="192">
        <v>45209</v>
      </c>
      <c r="C104" s="190" t="s">
        <v>486</v>
      </c>
      <c r="D104" s="194">
        <v>883.3</v>
      </c>
      <c r="E104">
        <v>29</v>
      </c>
      <c r="L104" s="192">
        <v>45209</v>
      </c>
      <c r="N104" s="108">
        <v>45229</v>
      </c>
      <c r="O104" s="108">
        <v>45229</v>
      </c>
      <c r="P104" s="10">
        <f>+L104-N104</f>
        <v>-20</v>
      </c>
      <c r="Q104" s="10">
        <f>+N104-O104</f>
        <v>0</v>
      </c>
      <c r="R104" s="10">
        <f>+L104-O104</f>
        <v>-20</v>
      </c>
      <c r="S104" s="10">
        <f>+R104-30</f>
        <v>-50</v>
      </c>
    </row>
    <row r="105" spans="1:19" ht="15" x14ac:dyDescent="0.25">
      <c r="A105" s="190" t="s">
        <v>152</v>
      </c>
      <c r="B105" s="192">
        <v>45223</v>
      </c>
      <c r="C105" s="190" t="s">
        <v>487</v>
      </c>
      <c r="D105" s="194">
        <v>60</v>
      </c>
      <c r="E105">
        <v>29</v>
      </c>
      <c r="L105" s="192">
        <v>45223</v>
      </c>
      <c r="N105" s="108">
        <v>45229</v>
      </c>
      <c r="O105" s="108">
        <v>45229</v>
      </c>
      <c r="P105" s="10">
        <f>+L105-N105</f>
        <v>-6</v>
      </c>
      <c r="Q105" s="10">
        <f>+N105-O105</f>
        <v>0</v>
      </c>
      <c r="R105" s="10">
        <f>+L105-O105</f>
        <v>-6</v>
      </c>
      <c r="S105" s="10">
        <f>+R105-30</f>
        <v>-36</v>
      </c>
    </row>
    <row r="106" spans="1:19" ht="15" x14ac:dyDescent="0.25">
      <c r="A106" s="190" t="s">
        <v>153</v>
      </c>
      <c r="B106" s="192">
        <v>45222</v>
      </c>
      <c r="C106" s="190" t="s">
        <v>488</v>
      </c>
      <c r="D106" s="194">
        <v>302.5</v>
      </c>
      <c r="E106">
        <v>29</v>
      </c>
      <c r="L106" s="192">
        <v>45222</v>
      </c>
      <c r="N106" s="108">
        <v>45229</v>
      </c>
      <c r="O106" s="108">
        <v>45229</v>
      </c>
      <c r="P106" s="10">
        <f>+L106-N106</f>
        <v>-7</v>
      </c>
      <c r="Q106" s="10">
        <f>+N106-O106</f>
        <v>0</v>
      </c>
      <c r="R106" s="10">
        <f>+L106-O106</f>
        <v>-7</v>
      </c>
      <c r="S106" s="10">
        <f>+R106-30</f>
        <v>-37</v>
      </c>
    </row>
    <row r="107" spans="1:19" ht="15" x14ac:dyDescent="0.25">
      <c r="A107" s="190" t="s">
        <v>159</v>
      </c>
      <c r="B107" s="192">
        <v>45222</v>
      </c>
      <c r="C107" s="190" t="s">
        <v>494</v>
      </c>
      <c r="D107" s="194">
        <v>92.56</v>
      </c>
      <c r="E107">
        <v>29</v>
      </c>
      <c r="L107" s="192">
        <v>45222</v>
      </c>
      <c r="N107" s="108">
        <v>45222</v>
      </c>
      <c r="O107" s="108">
        <v>45222</v>
      </c>
      <c r="P107" s="10">
        <f>+L107-N107</f>
        <v>0</v>
      </c>
      <c r="Q107" s="10">
        <f>+N107-O107</f>
        <v>0</v>
      </c>
      <c r="R107" s="10">
        <f>+L107-O107</f>
        <v>0</v>
      </c>
      <c r="S107" s="10">
        <f>+R107-30</f>
        <v>-30</v>
      </c>
    </row>
    <row r="108" spans="1:19" ht="15" x14ac:dyDescent="0.25">
      <c r="A108" s="190" t="s">
        <v>163</v>
      </c>
      <c r="B108" s="192">
        <v>45222</v>
      </c>
      <c r="C108" s="190" t="s">
        <v>498</v>
      </c>
      <c r="D108" s="194">
        <v>2825.35</v>
      </c>
      <c r="E108">
        <v>29</v>
      </c>
      <c r="L108" s="192">
        <v>45222</v>
      </c>
      <c r="N108" s="108">
        <v>45229</v>
      </c>
      <c r="O108" s="108">
        <v>45229</v>
      </c>
      <c r="P108" s="10">
        <f>+L108-N108</f>
        <v>-7</v>
      </c>
      <c r="Q108" s="10">
        <f>+N108-O108</f>
        <v>0</v>
      </c>
      <c r="R108" s="10">
        <f>+L108-O108</f>
        <v>-7</v>
      </c>
      <c r="S108" s="10">
        <f>+R108-30</f>
        <v>-37</v>
      </c>
    </row>
    <row r="109" spans="1:19" ht="15" x14ac:dyDescent="0.25">
      <c r="A109" s="190" t="s">
        <v>168</v>
      </c>
      <c r="B109" s="192">
        <v>45223</v>
      </c>
      <c r="C109" s="190" t="s">
        <v>503</v>
      </c>
      <c r="D109" s="194">
        <v>586.85</v>
      </c>
      <c r="E109">
        <v>29</v>
      </c>
      <c r="L109" s="192">
        <v>45223</v>
      </c>
      <c r="N109" s="108">
        <v>45229</v>
      </c>
      <c r="O109" s="108">
        <v>45229</v>
      </c>
      <c r="P109" s="10">
        <f>+L109-N109</f>
        <v>-6</v>
      </c>
      <c r="Q109" s="10">
        <f>+N109-O109</f>
        <v>0</v>
      </c>
      <c r="R109" s="10">
        <f>+L109-O109</f>
        <v>-6</v>
      </c>
      <c r="S109" s="10">
        <f>+R109-30</f>
        <v>-36</v>
      </c>
    </row>
    <row r="110" spans="1:19" ht="15" x14ac:dyDescent="0.25">
      <c r="A110" s="190" t="s">
        <v>170</v>
      </c>
      <c r="B110" s="192">
        <v>45225</v>
      </c>
      <c r="C110" s="190" t="s">
        <v>505</v>
      </c>
      <c r="D110" s="194">
        <v>2897.95</v>
      </c>
      <c r="E110">
        <v>29</v>
      </c>
      <c r="L110" s="192">
        <v>45225</v>
      </c>
      <c r="N110" s="108">
        <v>45229</v>
      </c>
      <c r="O110" s="108">
        <v>45229</v>
      </c>
      <c r="P110" s="10">
        <f>+L110-N110</f>
        <v>-4</v>
      </c>
      <c r="Q110" s="10">
        <f>+N110-O110</f>
        <v>0</v>
      </c>
      <c r="R110" s="10">
        <f>+L110-O110</f>
        <v>-4</v>
      </c>
      <c r="S110" s="10">
        <f>+R110-30</f>
        <v>-34</v>
      </c>
    </row>
    <row r="111" spans="1:19" ht="15" x14ac:dyDescent="0.25">
      <c r="A111" s="190" t="s">
        <v>175</v>
      </c>
      <c r="B111" s="192">
        <v>45223</v>
      </c>
      <c r="C111" s="190" t="s">
        <v>510</v>
      </c>
      <c r="D111" s="194">
        <v>6655</v>
      </c>
      <c r="E111">
        <v>29</v>
      </c>
      <c r="L111" s="192">
        <v>45223</v>
      </c>
      <c r="N111" s="108">
        <v>45229</v>
      </c>
      <c r="O111" s="108">
        <v>45229</v>
      </c>
      <c r="P111" s="10">
        <f>+L111-N111</f>
        <v>-6</v>
      </c>
      <c r="Q111" s="10">
        <f>+N111-O111</f>
        <v>0</v>
      </c>
      <c r="R111" s="10">
        <f>+L111-O111</f>
        <v>-6</v>
      </c>
      <c r="S111" s="10">
        <f>+R111-30</f>
        <v>-36</v>
      </c>
    </row>
    <row r="112" spans="1:19" ht="15" x14ac:dyDescent="0.25">
      <c r="A112" s="190" t="s">
        <v>176</v>
      </c>
      <c r="B112" s="192">
        <v>45223</v>
      </c>
      <c r="C112" s="190" t="s">
        <v>511</v>
      </c>
      <c r="D112" s="194">
        <v>87.12</v>
      </c>
      <c r="E112">
        <v>29</v>
      </c>
      <c r="L112" s="192">
        <v>45223</v>
      </c>
      <c r="N112" s="108">
        <v>45229</v>
      </c>
      <c r="O112" s="108">
        <v>45229</v>
      </c>
      <c r="P112" s="10">
        <f>+L112-N112</f>
        <v>-6</v>
      </c>
      <c r="Q112" s="10">
        <f>+N112-O112</f>
        <v>0</v>
      </c>
      <c r="R112" s="10">
        <f>+L112-O112</f>
        <v>-6</v>
      </c>
      <c r="S112" s="10">
        <f>+R112-30</f>
        <v>-36</v>
      </c>
    </row>
    <row r="113" spans="1:19" ht="15" x14ac:dyDescent="0.25">
      <c r="A113" s="190" t="s">
        <v>177</v>
      </c>
      <c r="B113" s="192">
        <v>45223</v>
      </c>
      <c r="C113" s="190" t="s">
        <v>512</v>
      </c>
      <c r="D113" s="194">
        <v>665.5</v>
      </c>
      <c r="E113">
        <v>29</v>
      </c>
      <c r="L113" s="192">
        <v>45223</v>
      </c>
      <c r="N113" s="108">
        <v>45229</v>
      </c>
      <c r="O113" s="108">
        <v>45229</v>
      </c>
      <c r="P113" s="10">
        <f>+L113-N113</f>
        <v>-6</v>
      </c>
      <c r="Q113" s="10">
        <f>+N113-O113</f>
        <v>0</v>
      </c>
      <c r="R113" s="10">
        <f>+L113-O113</f>
        <v>-6</v>
      </c>
      <c r="S113" s="10">
        <f>+R113-30</f>
        <v>-36</v>
      </c>
    </row>
    <row r="114" spans="1:19" ht="15" x14ac:dyDescent="0.25">
      <c r="A114" s="190" t="s">
        <v>178</v>
      </c>
      <c r="B114" s="192">
        <v>45231</v>
      </c>
      <c r="C114" s="190" t="s">
        <v>513</v>
      </c>
      <c r="D114" s="194">
        <v>1.67</v>
      </c>
      <c r="E114">
        <v>29</v>
      </c>
      <c r="L114" s="192">
        <v>45231</v>
      </c>
      <c r="N114" s="108">
        <v>45231</v>
      </c>
      <c r="O114" s="108">
        <v>45231</v>
      </c>
      <c r="P114" s="10">
        <f>+L114-N114</f>
        <v>0</v>
      </c>
      <c r="Q114" s="10">
        <f>+N114-O114</f>
        <v>0</v>
      </c>
      <c r="R114" s="10">
        <f>+L114-O114</f>
        <v>0</v>
      </c>
      <c r="S114" s="10">
        <f>+R114-30</f>
        <v>-30</v>
      </c>
    </row>
    <row r="115" spans="1:19" ht="15" x14ac:dyDescent="0.25">
      <c r="A115" s="190" t="s">
        <v>179</v>
      </c>
      <c r="B115" s="192">
        <v>45231</v>
      </c>
      <c r="C115" s="190" t="s">
        <v>514</v>
      </c>
      <c r="D115" s="194">
        <v>137.34</v>
      </c>
      <c r="E115">
        <v>29</v>
      </c>
      <c r="L115" s="192">
        <v>45231</v>
      </c>
      <c r="N115" s="108">
        <v>45231</v>
      </c>
      <c r="O115" s="108">
        <v>45231</v>
      </c>
      <c r="P115" s="10">
        <f>+L115-N115</f>
        <v>0</v>
      </c>
      <c r="Q115" s="10">
        <f>+N115-O115</f>
        <v>0</v>
      </c>
      <c r="R115" s="10">
        <f>+L115-O115</f>
        <v>0</v>
      </c>
      <c r="S115" s="10">
        <f>+R115-30</f>
        <v>-30</v>
      </c>
    </row>
    <row r="116" spans="1:19" ht="15" x14ac:dyDescent="0.25">
      <c r="A116" s="190" t="s">
        <v>182</v>
      </c>
      <c r="B116" s="192">
        <v>45232</v>
      </c>
      <c r="C116" s="190" t="s">
        <v>517</v>
      </c>
      <c r="D116" s="194">
        <v>8470</v>
      </c>
      <c r="E116">
        <v>29</v>
      </c>
      <c r="L116" s="192">
        <v>45232</v>
      </c>
      <c r="N116" s="108">
        <v>45233</v>
      </c>
      <c r="O116" s="108">
        <v>45233</v>
      </c>
      <c r="P116" s="10">
        <f>+L116-N116</f>
        <v>-1</v>
      </c>
      <c r="Q116" s="10">
        <f>+N116-O116</f>
        <v>0</v>
      </c>
      <c r="R116" s="10">
        <f>+L116-O116</f>
        <v>-1</v>
      </c>
      <c r="S116" s="10">
        <f>+R116-30</f>
        <v>-31</v>
      </c>
    </row>
    <row r="117" spans="1:19" ht="15" x14ac:dyDescent="0.25">
      <c r="A117" s="190" t="s">
        <v>183</v>
      </c>
      <c r="B117" s="192">
        <v>45230</v>
      </c>
      <c r="C117" s="190" t="s">
        <v>518</v>
      </c>
      <c r="D117" s="194">
        <v>1108.17</v>
      </c>
      <c r="E117">
        <v>29</v>
      </c>
      <c r="L117" s="192">
        <v>45230</v>
      </c>
      <c r="N117" s="108">
        <v>45230</v>
      </c>
      <c r="O117" s="108">
        <v>45230</v>
      </c>
      <c r="P117" s="10">
        <f>+L117-N117</f>
        <v>0</v>
      </c>
      <c r="Q117" s="10">
        <f>+N117-O117</f>
        <v>0</v>
      </c>
      <c r="R117" s="10">
        <f>+L117-O117</f>
        <v>0</v>
      </c>
      <c r="S117" s="10">
        <f>+R117-30</f>
        <v>-30</v>
      </c>
    </row>
    <row r="118" spans="1:19" ht="15" x14ac:dyDescent="0.25">
      <c r="A118" s="190" t="s">
        <v>184</v>
      </c>
      <c r="B118" s="192">
        <v>45230</v>
      </c>
      <c r="C118" s="190" t="s">
        <v>519</v>
      </c>
      <c r="D118" s="194">
        <v>1464.06</v>
      </c>
      <c r="E118">
        <v>29</v>
      </c>
      <c r="L118" s="192">
        <v>45230</v>
      </c>
      <c r="N118" s="108">
        <v>45230</v>
      </c>
      <c r="O118" s="108">
        <v>45230</v>
      </c>
      <c r="P118" s="10">
        <f>+L118-N118</f>
        <v>0</v>
      </c>
      <c r="Q118" s="10">
        <f>+N118-O118</f>
        <v>0</v>
      </c>
      <c r="R118" s="10">
        <f>+L118-O118</f>
        <v>0</v>
      </c>
      <c r="S118" s="10">
        <f>+R118-30</f>
        <v>-30</v>
      </c>
    </row>
    <row r="119" spans="1:19" ht="15" x14ac:dyDescent="0.25">
      <c r="A119" s="190" t="s">
        <v>186</v>
      </c>
      <c r="B119" s="192">
        <v>45229</v>
      </c>
      <c r="C119" s="190" t="s">
        <v>521</v>
      </c>
      <c r="D119" s="194">
        <v>4.8600000000000003</v>
      </c>
      <c r="E119">
        <v>29</v>
      </c>
      <c r="L119" s="192">
        <v>45232</v>
      </c>
      <c r="N119" s="108">
        <v>45247</v>
      </c>
      <c r="O119" s="108">
        <v>45247</v>
      </c>
      <c r="P119" s="10">
        <f>+L119-N119</f>
        <v>-15</v>
      </c>
      <c r="Q119" s="10">
        <f>+N119-O119</f>
        <v>0</v>
      </c>
      <c r="R119" s="10">
        <f>+L119-O119</f>
        <v>-15</v>
      </c>
      <c r="S119" s="10">
        <f>+R119-30</f>
        <v>-45</v>
      </c>
    </row>
    <row r="120" spans="1:19" ht="15" x14ac:dyDescent="0.25">
      <c r="A120" s="190" t="s">
        <v>187</v>
      </c>
      <c r="B120" s="192">
        <v>45229</v>
      </c>
      <c r="C120" s="190" t="s">
        <v>522</v>
      </c>
      <c r="D120" s="194">
        <v>13.95</v>
      </c>
      <c r="E120">
        <v>29</v>
      </c>
      <c r="L120" s="192">
        <v>45229</v>
      </c>
      <c r="N120" s="108">
        <v>45247</v>
      </c>
      <c r="O120" s="108">
        <v>45247</v>
      </c>
      <c r="P120" s="10">
        <f>+L120-N120</f>
        <v>-18</v>
      </c>
      <c r="Q120" s="10">
        <f>+N120-O120</f>
        <v>0</v>
      </c>
      <c r="R120" s="10">
        <f>+L120-O120</f>
        <v>-18</v>
      </c>
      <c r="S120" s="10">
        <f>+R120-30</f>
        <v>-48</v>
      </c>
    </row>
    <row r="121" spans="1:19" ht="15" x14ac:dyDescent="0.25">
      <c r="A121" s="190" t="s">
        <v>188</v>
      </c>
      <c r="B121" s="192">
        <v>45229</v>
      </c>
      <c r="C121" s="190" t="s">
        <v>523</v>
      </c>
      <c r="D121" s="194">
        <v>246.79</v>
      </c>
      <c r="E121">
        <v>29</v>
      </c>
      <c r="L121" s="192">
        <v>45229</v>
      </c>
      <c r="N121" s="108">
        <v>45247</v>
      </c>
      <c r="O121" s="108">
        <v>45247</v>
      </c>
      <c r="P121" s="10">
        <f>+L121-N121</f>
        <v>-18</v>
      </c>
      <c r="Q121" s="10">
        <f>+N121-O121</f>
        <v>0</v>
      </c>
      <c r="R121" s="10">
        <f>+L121-O121</f>
        <v>-18</v>
      </c>
      <c r="S121" s="10">
        <f>+R121-30</f>
        <v>-48</v>
      </c>
    </row>
    <row r="122" spans="1:19" ht="15" x14ac:dyDescent="0.25">
      <c r="A122" s="190" t="s">
        <v>189</v>
      </c>
      <c r="B122" s="192">
        <v>45229</v>
      </c>
      <c r="C122" s="190" t="s">
        <v>524</v>
      </c>
      <c r="D122" s="194">
        <v>363.73</v>
      </c>
      <c r="E122">
        <v>29</v>
      </c>
      <c r="L122" s="192">
        <v>45229</v>
      </c>
      <c r="N122" s="108">
        <v>45247</v>
      </c>
      <c r="O122" s="108">
        <v>45247</v>
      </c>
      <c r="P122" s="10">
        <f>+L122-N122</f>
        <v>-18</v>
      </c>
      <c r="Q122" s="10">
        <f>+N122-O122</f>
        <v>0</v>
      </c>
      <c r="R122" s="10">
        <f>+L122-O122</f>
        <v>-18</v>
      </c>
      <c r="S122" s="10">
        <f>+R122-30</f>
        <v>-48</v>
      </c>
    </row>
    <row r="123" spans="1:19" ht="15" x14ac:dyDescent="0.25">
      <c r="A123" s="190" t="s">
        <v>190</v>
      </c>
      <c r="B123" s="192">
        <v>45229</v>
      </c>
      <c r="C123" s="190" t="s">
        <v>525</v>
      </c>
      <c r="D123" s="194">
        <v>362.6</v>
      </c>
      <c r="E123">
        <v>29</v>
      </c>
      <c r="L123" s="192">
        <v>45229</v>
      </c>
      <c r="N123" s="108">
        <v>45247</v>
      </c>
      <c r="O123" s="108">
        <v>45247</v>
      </c>
      <c r="P123" s="10">
        <f>+L123-N123</f>
        <v>-18</v>
      </c>
      <c r="Q123" s="10">
        <f>+N123-O123</f>
        <v>0</v>
      </c>
      <c r="R123" s="10">
        <f>+L123-O123</f>
        <v>-18</v>
      </c>
      <c r="S123" s="10">
        <f>+R123-30</f>
        <v>-48</v>
      </c>
    </row>
    <row r="124" spans="1:19" ht="15" x14ac:dyDescent="0.25">
      <c r="A124" s="190" t="s">
        <v>191</v>
      </c>
      <c r="B124" s="192">
        <v>45229</v>
      </c>
      <c r="C124" s="190" t="s">
        <v>526</v>
      </c>
      <c r="D124" s="194">
        <v>455.01</v>
      </c>
      <c r="E124">
        <v>29</v>
      </c>
      <c r="L124" s="192">
        <v>45229</v>
      </c>
      <c r="N124" s="108">
        <v>45247</v>
      </c>
      <c r="O124" s="108">
        <v>45247</v>
      </c>
      <c r="P124" s="10">
        <f>+L124-N124</f>
        <v>-18</v>
      </c>
      <c r="Q124" s="10">
        <f>+N124-O124</f>
        <v>0</v>
      </c>
      <c r="R124" s="10">
        <f>+L124-O124</f>
        <v>-18</v>
      </c>
      <c r="S124" s="10">
        <f>+R124-30</f>
        <v>-48</v>
      </c>
    </row>
    <row r="125" spans="1:19" ht="15" x14ac:dyDescent="0.25">
      <c r="A125" s="190" t="s">
        <v>192</v>
      </c>
      <c r="B125" s="192">
        <v>45229</v>
      </c>
      <c r="C125" s="190" t="s">
        <v>527</v>
      </c>
      <c r="D125" s="194">
        <v>1622.25</v>
      </c>
      <c r="E125">
        <v>29</v>
      </c>
      <c r="L125" s="192">
        <v>45229</v>
      </c>
      <c r="N125" s="108">
        <v>45247</v>
      </c>
      <c r="O125" s="108">
        <v>45247</v>
      </c>
      <c r="P125" s="10">
        <f>+L125-N125</f>
        <v>-18</v>
      </c>
      <c r="Q125" s="10">
        <f>+N125-O125</f>
        <v>0</v>
      </c>
      <c r="R125" s="10">
        <f>+L125-O125</f>
        <v>-18</v>
      </c>
      <c r="S125" s="10">
        <f>+R125-30</f>
        <v>-48</v>
      </c>
    </row>
    <row r="126" spans="1:19" ht="15" x14ac:dyDescent="0.25">
      <c r="A126" s="190" t="s">
        <v>193</v>
      </c>
      <c r="B126" s="192">
        <v>45229</v>
      </c>
      <c r="C126" s="190" t="s">
        <v>528</v>
      </c>
      <c r="D126" s="194">
        <v>10.01</v>
      </c>
      <c r="E126">
        <v>29</v>
      </c>
      <c r="L126" s="192">
        <v>45229</v>
      </c>
      <c r="N126" s="108">
        <v>45247</v>
      </c>
      <c r="O126" s="108">
        <v>45247</v>
      </c>
      <c r="P126" s="10">
        <f>+L126-N126</f>
        <v>-18</v>
      </c>
      <c r="Q126" s="10">
        <f>+N126-O126</f>
        <v>0</v>
      </c>
      <c r="R126" s="10">
        <f>+L126-O126</f>
        <v>-18</v>
      </c>
      <c r="S126" s="10">
        <f>+R126-30</f>
        <v>-48</v>
      </c>
    </row>
    <row r="127" spans="1:19" ht="15" x14ac:dyDescent="0.25">
      <c r="A127" s="190" t="s">
        <v>194</v>
      </c>
      <c r="B127" s="192">
        <v>45229</v>
      </c>
      <c r="C127" s="190" t="s">
        <v>529</v>
      </c>
      <c r="D127" s="194">
        <v>26.71</v>
      </c>
      <c r="E127">
        <v>29</v>
      </c>
      <c r="L127" s="192">
        <v>45229</v>
      </c>
      <c r="N127" s="108">
        <v>45247</v>
      </c>
      <c r="O127" s="108">
        <v>45247</v>
      </c>
      <c r="P127" s="10">
        <f>+L127-N127</f>
        <v>-18</v>
      </c>
      <c r="Q127" s="10">
        <f>+N127-O127</f>
        <v>0</v>
      </c>
      <c r="R127" s="10">
        <f>+L127-O127</f>
        <v>-18</v>
      </c>
      <c r="S127" s="10">
        <f>+R127-30</f>
        <v>-48</v>
      </c>
    </row>
    <row r="128" spans="1:19" ht="15" x14ac:dyDescent="0.25">
      <c r="A128" s="190" t="s">
        <v>195</v>
      </c>
      <c r="B128" s="192">
        <v>45229</v>
      </c>
      <c r="C128" s="190" t="s">
        <v>530</v>
      </c>
      <c r="D128" s="194">
        <v>13.3</v>
      </c>
      <c r="E128">
        <v>29</v>
      </c>
      <c r="L128" s="192">
        <v>45229</v>
      </c>
      <c r="N128" s="108">
        <v>45247</v>
      </c>
      <c r="O128" s="108">
        <v>45247</v>
      </c>
      <c r="P128" s="10">
        <f>+L128-N128</f>
        <v>-18</v>
      </c>
      <c r="Q128" s="10">
        <f>+N128-O128</f>
        <v>0</v>
      </c>
      <c r="R128" s="10">
        <f>+L128-O128</f>
        <v>-18</v>
      </c>
      <c r="S128" s="10">
        <f>+R128-30</f>
        <v>-48</v>
      </c>
    </row>
    <row r="129" spans="1:19" ht="15" x14ac:dyDescent="0.25">
      <c r="A129" s="190" t="s">
        <v>196</v>
      </c>
      <c r="B129" s="192">
        <v>45229</v>
      </c>
      <c r="C129" s="190" t="s">
        <v>531</v>
      </c>
      <c r="D129" s="194">
        <v>20.93</v>
      </c>
      <c r="E129">
        <v>29</v>
      </c>
      <c r="L129" s="192">
        <v>45229</v>
      </c>
      <c r="N129" s="108">
        <v>45247</v>
      </c>
      <c r="O129" s="108">
        <v>45247</v>
      </c>
      <c r="P129" s="10">
        <f>+L129-N129</f>
        <v>-18</v>
      </c>
      <c r="Q129" s="10">
        <f>+N129-O129</f>
        <v>0</v>
      </c>
      <c r="R129" s="10">
        <f>+L129-O129</f>
        <v>-18</v>
      </c>
      <c r="S129" s="10">
        <f>+R129-30</f>
        <v>-48</v>
      </c>
    </row>
    <row r="130" spans="1:19" ht="15" x14ac:dyDescent="0.25">
      <c r="A130" s="190" t="s">
        <v>197</v>
      </c>
      <c r="B130" s="192">
        <v>45229</v>
      </c>
      <c r="C130" s="190" t="s">
        <v>532</v>
      </c>
      <c r="D130" s="194">
        <v>29.83</v>
      </c>
      <c r="E130">
        <v>29</v>
      </c>
      <c r="L130" s="192">
        <v>45229</v>
      </c>
      <c r="N130" s="108">
        <v>45247</v>
      </c>
      <c r="O130" s="108">
        <v>45247</v>
      </c>
      <c r="P130" s="10">
        <f>+L130-N130</f>
        <v>-18</v>
      </c>
      <c r="Q130" s="10">
        <f>+N130-O130</f>
        <v>0</v>
      </c>
      <c r="R130" s="10">
        <f>+L130-O130</f>
        <v>-18</v>
      </c>
      <c r="S130" s="10">
        <f>+R130-30</f>
        <v>-48</v>
      </c>
    </row>
    <row r="131" spans="1:19" ht="15" x14ac:dyDescent="0.25">
      <c r="A131" s="190" t="s">
        <v>198</v>
      </c>
      <c r="B131" s="192">
        <v>45229</v>
      </c>
      <c r="C131" s="190" t="s">
        <v>533</v>
      </c>
      <c r="D131" s="194">
        <v>24.18</v>
      </c>
      <c r="E131">
        <v>29</v>
      </c>
      <c r="L131" s="192">
        <v>45230</v>
      </c>
      <c r="N131" s="108">
        <v>45247</v>
      </c>
      <c r="O131" s="108">
        <v>45247</v>
      </c>
      <c r="P131" s="10">
        <f>+L131-N131</f>
        <v>-17</v>
      </c>
      <c r="Q131" s="10">
        <f>+N131-O131</f>
        <v>0</v>
      </c>
      <c r="R131" s="10">
        <f>+L131-O131</f>
        <v>-17</v>
      </c>
      <c r="S131" s="10">
        <f>+R131-30</f>
        <v>-47</v>
      </c>
    </row>
    <row r="132" spans="1:19" ht="15" x14ac:dyDescent="0.25">
      <c r="A132" s="190" t="s">
        <v>199</v>
      </c>
      <c r="B132" s="192">
        <v>45229</v>
      </c>
      <c r="C132" s="190" t="s">
        <v>534</v>
      </c>
      <c r="D132" s="194">
        <v>33.549999999999997</v>
      </c>
      <c r="E132">
        <v>29</v>
      </c>
      <c r="L132" s="192">
        <v>45229</v>
      </c>
      <c r="N132" s="108">
        <v>45247</v>
      </c>
      <c r="O132" s="108">
        <v>45247</v>
      </c>
      <c r="P132" s="10">
        <f>+L132-N132</f>
        <v>-18</v>
      </c>
      <c r="Q132" s="10">
        <f>+N132-O132</f>
        <v>0</v>
      </c>
      <c r="R132" s="10">
        <f>+L132-O132</f>
        <v>-18</v>
      </c>
      <c r="S132" s="10">
        <f>+R132-30</f>
        <v>-48</v>
      </c>
    </row>
    <row r="133" spans="1:19" ht="15" x14ac:dyDescent="0.25">
      <c r="A133" s="190" t="s">
        <v>200</v>
      </c>
      <c r="B133" s="192">
        <v>45229</v>
      </c>
      <c r="C133" s="190" t="s">
        <v>535</v>
      </c>
      <c r="D133" s="194">
        <v>37.39</v>
      </c>
      <c r="E133">
        <v>29</v>
      </c>
      <c r="L133" s="192">
        <v>45229</v>
      </c>
      <c r="N133" s="108">
        <v>45247</v>
      </c>
      <c r="O133" s="108">
        <v>45247</v>
      </c>
      <c r="P133" s="10">
        <f>+L133-N133</f>
        <v>-18</v>
      </c>
      <c r="Q133" s="10">
        <f>+N133-O133</f>
        <v>0</v>
      </c>
      <c r="R133" s="10">
        <f>+L133-O133</f>
        <v>-18</v>
      </c>
      <c r="S133" s="10">
        <f>+R133-30</f>
        <v>-48</v>
      </c>
    </row>
    <row r="134" spans="1:19" ht="15" x14ac:dyDescent="0.25">
      <c r="A134" s="190" t="s">
        <v>202</v>
      </c>
      <c r="B134" s="192">
        <v>45230</v>
      </c>
      <c r="C134" s="190" t="s">
        <v>537</v>
      </c>
      <c r="D134" s="194">
        <v>427.69</v>
      </c>
      <c r="E134">
        <v>29</v>
      </c>
      <c r="L134" s="192">
        <v>45230</v>
      </c>
      <c r="N134" s="108">
        <v>45237</v>
      </c>
      <c r="O134" s="108">
        <v>45237</v>
      </c>
      <c r="P134" s="10">
        <f>+L134-N134</f>
        <v>-7</v>
      </c>
      <c r="Q134" s="10">
        <f>+N134-O134</f>
        <v>0</v>
      </c>
      <c r="R134" s="10">
        <f>+L134-O134</f>
        <v>-7</v>
      </c>
      <c r="S134" s="10">
        <f>+R134-30</f>
        <v>-37</v>
      </c>
    </row>
    <row r="135" spans="1:19" ht="15" x14ac:dyDescent="0.25">
      <c r="A135" s="190" t="s">
        <v>203</v>
      </c>
      <c r="B135" s="192">
        <v>45231</v>
      </c>
      <c r="C135" s="190" t="s">
        <v>538</v>
      </c>
      <c r="D135" s="194">
        <v>143.83000000000001</v>
      </c>
      <c r="E135">
        <v>29</v>
      </c>
      <c r="L135" s="192">
        <v>45231</v>
      </c>
      <c r="N135" s="108">
        <v>45233</v>
      </c>
      <c r="O135" s="108">
        <v>45233</v>
      </c>
      <c r="P135" s="10">
        <f>+L135-N135</f>
        <v>-2</v>
      </c>
      <c r="Q135" s="10">
        <f>+N135-O135</f>
        <v>0</v>
      </c>
      <c r="R135" s="10">
        <f>+L135-O135</f>
        <v>-2</v>
      </c>
      <c r="S135" s="10">
        <f>+R135-30</f>
        <v>-32</v>
      </c>
    </row>
    <row r="136" spans="1:19" ht="15" x14ac:dyDescent="0.25">
      <c r="A136" s="190" t="s">
        <v>204</v>
      </c>
      <c r="B136" s="192">
        <v>45230</v>
      </c>
      <c r="C136" s="190" t="s">
        <v>539</v>
      </c>
      <c r="D136" s="194">
        <v>87.14</v>
      </c>
      <c r="E136">
        <v>29</v>
      </c>
      <c r="L136" s="192">
        <v>45230</v>
      </c>
      <c r="N136" s="108">
        <v>45236</v>
      </c>
      <c r="O136" s="108">
        <v>45236</v>
      </c>
      <c r="P136" s="10">
        <f>+L136-N136</f>
        <v>-6</v>
      </c>
      <c r="Q136" s="10">
        <f>+N136-O136</f>
        <v>0</v>
      </c>
      <c r="R136" s="10">
        <f>+L136-O136</f>
        <v>-6</v>
      </c>
      <c r="S136" s="10">
        <f>+R136-30</f>
        <v>-36</v>
      </c>
    </row>
    <row r="137" spans="1:19" ht="15" x14ac:dyDescent="0.25">
      <c r="A137" s="190" t="s">
        <v>207</v>
      </c>
      <c r="B137" s="192">
        <v>45232</v>
      </c>
      <c r="C137" s="190" t="s">
        <v>542</v>
      </c>
      <c r="D137" s="194">
        <v>267.75</v>
      </c>
      <c r="E137">
        <v>29</v>
      </c>
      <c r="L137" s="192">
        <v>45232</v>
      </c>
      <c r="N137" s="108">
        <v>45243</v>
      </c>
      <c r="O137" s="108">
        <v>45243</v>
      </c>
      <c r="P137" s="10">
        <f>+L137-N137</f>
        <v>-11</v>
      </c>
      <c r="Q137" s="10">
        <f>+N137-O137</f>
        <v>0</v>
      </c>
      <c r="R137" s="10">
        <f>+L137-O137</f>
        <v>-11</v>
      </c>
      <c r="S137" s="10">
        <f>+R137-30</f>
        <v>-41</v>
      </c>
    </row>
    <row r="138" spans="1:19" ht="15" x14ac:dyDescent="0.25">
      <c r="A138" s="190" t="s">
        <v>209</v>
      </c>
      <c r="B138" s="192">
        <v>45230</v>
      </c>
      <c r="C138" s="190" t="s">
        <v>544</v>
      </c>
      <c r="D138" s="194">
        <v>33</v>
      </c>
      <c r="E138">
        <v>29</v>
      </c>
      <c r="L138" s="192">
        <v>45230</v>
      </c>
      <c r="N138" s="108">
        <v>45243</v>
      </c>
      <c r="O138" s="108">
        <v>45243</v>
      </c>
      <c r="P138" s="10">
        <f>+L138-N138</f>
        <v>-13</v>
      </c>
      <c r="Q138" s="10">
        <f>+N138-O138</f>
        <v>0</v>
      </c>
      <c r="R138" s="10">
        <f>+L138-O138</f>
        <v>-13</v>
      </c>
      <c r="S138" s="10">
        <f>+R138-30</f>
        <v>-43</v>
      </c>
    </row>
    <row r="139" spans="1:19" ht="15" x14ac:dyDescent="0.25">
      <c r="A139" s="190" t="s">
        <v>210</v>
      </c>
      <c r="B139" s="192">
        <v>45229</v>
      </c>
      <c r="C139" s="190" t="s">
        <v>545</v>
      </c>
      <c r="D139" s="194">
        <v>500</v>
      </c>
      <c r="E139">
        <v>29</v>
      </c>
      <c r="L139" s="192">
        <v>45229</v>
      </c>
      <c r="N139" s="108">
        <v>45243</v>
      </c>
      <c r="O139" s="108">
        <v>45243</v>
      </c>
      <c r="P139" s="10">
        <f>+L139-N139</f>
        <v>-14</v>
      </c>
      <c r="Q139" s="10">
        <f>+N139-O139</f>
        <v>0</v>
      </c>
      <c r="R139" s="10">
        <f>+L139-O139</f>
        <v>-14</v>
      </c>
      <c r="S139" s="10">
        <f>+R139-30</f>
        <v>-44</v>
      </c>
    </row>
    <row r="140" spans="1:19" ht="15" x14ac:dyDescent="0.25">
      <c r="A140" s="190" t="s">
        <v>212</v>
      </c>
      <c r="B140" s="192">
        <v>45233</v>
      </c>
      <c r="C140" s="190" t="s">
        <v>547</v>
      </c>
      <c r="D140" s="194">
        <v>1160.03</v>
      </c>
      <c r="E140">
        <v>29</v>
      </c>
      <c r="L140" s="192">
        <v>45233</v>
      </c>
      <c r="N140" s="108">
        <v>45238</v>
      </c>
      <c r="O140" s="108">
        <v>45238</v>
      </c>
      <c r="P140" s="10">
        <f>+L140-N140</f>
        <v>-5</v>
      </c>
      <c r="Q140" s="10">
        <f>+N140-O140</f>
        <v>0</v>
      </c>
      <c r="R140" s="10">
        <f>+L140-O140</f>
        <v>-5</v>
      </c>
      <c r="S140" s="10">
        <f>+R140-30</f>
        <v>-35</v>
      </c>
    </row>
    <row r="141" spans="1:19" ht="15" x14ac:dyDescent="0.25">
      <c r="A141" s="190" t="s">
        <v>213</v>
      </c>
      <c r="B141" s="192">
        <v>45230</v>
      </c>
      <c r="C141" s="190" t="s">
        <v>548</v>
      </c>
      <c r="D141" s="194">
        <v>96.8</v>
      </c>
      <c r="E141">
        <v>29</v>
      </c>
      <c r="L141" s="192">
        <v>45230</v>
      </c>
      <c r="N141" s="108">
        <v>45238</v>
      </c>
      <c r="O141" s="108">
        <v>45238</v>
      </c>
      <c r="P141" s="10">
        <f>+L141-N141</f>
        <v>-8</v>
      </c>
      <c r="Q141" s="10">
        <f>+N141-O141</f>
        <v>0</v>
      </c>
      <c r="R141" s="10">
        <f>+L141-O141</f>
        <v>-8</v>
      </c>
      <c r="S141" s="10">
        <f>+R141-30</f>
        <v>-38</v>
      </c>
    </row>
    <row r="142" spans="1:19" ht="15" x14ac:dyDescent="0.25">
      <c r="A142" s="190" t="s">
        <v>214</v>
      </c>
      <c r="B142" s="192">
        <v>45231</v>
      </c>
      <c r="C142" s="190" t="s">
        <v>549</v>
      </c>
      <c r="D142" s="194">
        <v>2693.46</v>
      </c>
      <c r="E142">
        <v>29</v>
      </c>
      <c r="L142" s="192">
        <v>45231</v>
      </c>
      <c r="N142" s="108">
        <v>45238</v>
      </c>
      <c r="O142" s="108">
        <v>45238</v>
      </c>
      <c r="P142" s="10">
        <f>+L142-N142</f>
        <v>-7</v>
      </c>
      <c r="Q142" s="10">
        <f>+N142-O142</f>
        <v>0</v>
      </c>
      <c r="R142" s="10">
        <f>+L142-O142</f>
        <v>-7</v>
      </c>
      <c r="S142" s="10">
        <f>+R142-30</f>
        <v>-37</v>
      </c>
    </row>
    <row r="143" spans="1:19" ht="15" x14ac:dyDescent="0.25">
      <c r="A143" s="190" t="s">
        <v>215</v>
      </c>
      <c r="B143" s="192">
        <v>45222</v>
      </c>
      <c r="C143" s="190" t="s">
        <v>550</v>
      </c>
      <c r="D143" s="194">
        <v>2437.44</v>
      </c>
      <c r="E143">
        <v>29</v>
      </c>
      <c r="L143" s="192">
        <v>45222</v>
      </c>
      <c r="N143" s="108">
        <v>45229</v>
      </c>
      <c r="O143" s="108">
        <v>45229</v>
      </c>
      <c r="P143" s="10">
        <f>+L143-N143</f>
        <v>-7</v>
      </c>
      <c r="Q143" s="10">
        <f>+N143-O143</f>
        <v>0</v>
      </c>
      <c r="R143" s="10">
        <f>+L143-O143</f>
        <v>-7</v>
      </c>
      <c r="S143" s="10">
        <f>+R143-30</f>
        <v>-37</v>
      </c>
    </row>
    <row r="144" spans="1:19" ht="15" x14ac:dyDescent="0.25">
      <c r="A144" s="190" t="s">
        <v>216</v>
      </c>
      <c r="B144" s="192">
        <v>45230</v>
      </c>
      <c r="C144" s="190" t="s">
        <v>551</v>
      </c>
      <c r="D144" s="194">
        <v>80</v>
      </c>
      <c r="E144">
        <v>29</v>
      </c>
      <c r="L144" s="192">
        <v>45230</v>
      </c>
      <c r="N144" s="108">
        <v>45260</v>
      </c>
      <c r="O144" s="108">
        <v>45260</v>
      </c>
      <c r="P144" s="10">
        <f>+L144-N144</f>
        <v>-30</v>
      </c>
      <c r="Q144" s="10">
        <f>+N144-O144</f>
        <v>0</v>
      </c>
      <c r="R144" s="10">
        <f>+L144-O144</f>
        <v>-30</v>
      </c>
      <c r="S144" s="10">
        <f>+R144-30</f>
        <v>-60</v>
      </c>
    </row>
    <row r="145" spans="1:19" ht="15" x14ac:dyDescent="0.25">
      <c r="A145" s="190" t="s">
        <v>218</v>
      </c>
      <c r="B145" s="192">
        <v>45237</v>
      </c>
      <c r="C145" s="190" t="s">
        <v>553</v>
      </c>
      <c r="D145" s="194">
        <v>750</v>
      </c>
      <c r="E145">
        <v>29</v>
      </c>
      <c r="L145" s="192">
        <v>45237</v>
      </c>
      <c r="N145" s="108">
        <v>45243</v>
      </c>
      <c r="O145" s="108">
        <v>45243</v>
      </c>
      <c r="P145" s="10">
        <f>+L145-N145</f>
        <v>-6</v>
      </c>
      <c r="Q145" s="10">
        <f>+N145-O145</f>
        <v>0</v>
      </c>
      <c r="R145" s="10">
        <f>+L145-O145</f>
        <v>-6</v>
      </c>
      <c r="S145" s="10">
        <f>+R145-30</f>
        <v>-36</v>
      </c>
    </row>
    <row r="146" spans="1:19" ht="15" x14ac:dyDescent="0.25">
      <c r="A146" s="190" t="s">
        <v>219</v>
      </c>
      <c r="B146" s="192">
        <v>45237</v>
      </c>
      <c r="C146" s="190" t="s">
        <v>554</v>
      </c>
      <c r="D146" s="194">
        <v>72.599999999999994</v>
      </c>
      <c r="E146">
        <v>29</v>
      </c>
      <c r="L146" s="192">
        <v>45237</v>
      </c>
      <c r="N146" s="108">
        <v>45243</v>
      </c>
      <c r="O146" s="108">
        <v>45243</v>
      </c>
      <c r="P146" s="10">
        <f>+L146-N146</f>
        <v>-6</v>
      </c>
      <c r="Q146" s="10">
        <f>+N146-O146</f>
        <v>0</v>
      </c>
      <c r="R146" s="10">
        <f>+L146-O146</f>
        <v>-6</v>
      </c>
      <c r="S146" s="10">
        <f>+R146-30</f>
        <v>-36</v>
      </c>
    </row>
    <row r="147" spans="1:19" ht="15" x14ac:dyDescent="0.25">
      <c r="A147" s="190" t="s">
        <v>222</v>
      </c>
      <c r="B147" s="192">
        <v>45230</v>
      </c>
      <c r="C147" s="190" t="s">
        <v>557</v>
      </c>
      <c r="D147" s="194">
        <v>775</v>
      </c>
      <c r="E147">
        <v>29</v>
      </c>
      <c r="L147" s="192">
        <v>45230</v>
      </c>
      <c r="N147" s="108">
        <v>45243</v>
      </c>
      <c r="O147" s="108">
        <v>45243</v>
      </c>
      <c r="P147" s="10">
        <f>+L147-N147</f>
        <v>-13</v>
      </c>
      <c r="Q147" s="10">
        <f>+N147-O147</f>
        <v>0</v>
      </c>
      <c r="R147" s="10">
        <f>+L147-O147</f>
        <v>-13</v>
      </c>
      <c r="S147" s="10">
        <f>+R147-30</f>
        <v>-43</v>
      </c>
    </row>
    <row r="148" spans="1:19" ht="15" x14ac:dyDescent="0.25">
      <c r="A148" s="190" t="s">
        <v>224</v>
      </c>
      <c r="B148" s="192">
        <v>45232</v>
      </c>
      <c r="C148" s="190" t="s">
        <v>559</v>
      </c>
      <c r="D148" s="194">
        <v>88.94</v>
      </c>
      <c r="E148">
        <v>29</v>
      </c>
      <c r="L148" s="192">
        <v>45232</v>
      </c>
      <c r="N148" s="108">
        <v>45243</v>
      </c>
      <c r="O148" s="108">
        <v>45243</v>
      </c>
      <c r="P148" s="10">
        <f>+L148-N148</f>
        <v>-11</v>
      </c>
      <c r="Q148" s="10">
        <f>+N148-O148</f>
        <v>0</v>
      </c>
      <c r="R148" s="10">
        <f>+L148-O148</f>
        <v>-11</v>
      </c>
      <c r="S148" s="10">
        <f>+R148-30</f>
        <v>-41</v>
      </c>
    </row>
    <row r="149" spans="1:19" ht="15" x14ac:dyDescent="0.25">
      <c r="A149" s="190" t="s">
        <v>225</v>
      </c>
      <c r="B149" s="192">
        <v>45233</v>
      </c>
      <c r="C149" s="190" t="s">
        <v>471</v>
      </c>
      <c r="D149" s="194">
        <v>990</v>
      </c>
      <c r="E149">
        <v>29</v>
      </c>
      <c r="L149" s="192">
        <v>45233</v>
      </c>
      <c r="N149" s="108">
        <v>45243</v>
      </c>
      <c r="O149" s="108">
        <v>45243</v>
      </c>
      <c r="P149" s="10">
        <f>+L149-N149</f>
        <v>-10</v>
      </c>
      <c r="Q149" s="10">
        <f>+N149-O149</f>
        <v>0</v>
      </c>
      <c r="R149" s="10">
        <f>+L149-O149</f>
        <v>-10</v>
      </c>
      <c r="S149" s="10">
        <f>+R149-30</f>
        <v>-40</v>
      </c>
    </row>
    <row r="150" spans="1:19" ht="15" x14ac:dyDescent="0.25">
      <c r="A150" s="190" t="s">
        <v>226</v>
      </c>
      <c r="B150" s="192">
        <v>45237</v>
      </c>
      <c r="C150" s="190" t="s">
        <v>560</v>
      </c>
      <c r="D150" s="194">
        <v>8954</v>
      </c>
      <c r="E150">
        <v>29</v>
      </c>
      <c r="L150" s="192">
        <v>45237</v>
      </c>
      <c r="N150" s="108">
        <v>45243</v>
      </c>
      <c r="O150" s="108">
        <v>45243</v>
      </c>
      <c r="P150" s="10">
        <f>+L150-N150</f>
        <v>-6</v>
      </c>
      <c r="Q150" s="10">
        <f>+N150-O150</f>
        <v>0</v>
      </c>
      <c r="R150" s="10">
        <f>+L150-O150</f>
        <v>-6</v>
      </c>
      <c r="S150" s="10">
        <f>+R150-30</f>
        <v>-36</v>
      </c>
    </row>
    <row r="151" spans="1:19" ht="15" x14ac:dyDescent="0.25">
      <c r="A151" s="190" t="s">
        <v>227</v>
      </c>
      <c r="B151" s="192">
        <v>45239</v>
      </c>
      <c r="C151" s="190" t="s">
        <v>561</v>
      </c>
      <c r="D151" s="194">
        <v>5445</v>
      </c>
      <c r="E151">
        <v>29</v>
      </c>
      <c r="L151" s="192">
        <v>45239</v>
      </c>
      <c r="N151" s="108">
        <v>45243</v>
      </c>
      <c r="O151" s="108">
        <v>45243</v>
      </c>
      <c r="P151" s="10">
        <f>+L151-N151</f>
        <v>-4</v>
      </c>
      <c r="Q151" s="10">
        <f>+N151-O151</f>
        <v>0</v>
      </c>
      <c r="R151" s="10">
        <f>+L151-O151</f>
        <v>-4</v>
      </c>
      <c r="S151" s="10">
        <f>+R151-30</f>
        <v>-34</v>
      </c>
    </row>
    <row r="152" spans="1:19" ht="15" x14ac:dyDescent="0.25">
      <c r="A152" s="190" t="s">
        <v>231</v>
      </c>
      <c r="B152" s="192">
        <v>45237</v>
      </c>
      <c r="C152" s="190" t="s">
        <v>565</v>
      </c>
      <c r="D152" s="194">
        <v>121</v>
      </c>
      <c r="E152">
        <v>29</v>
      </c>
      <c r="L152" s="192">
        <v>45237</v>
      </c>
      <c r="N152" s="108">
        <v>45243</v>
      </c>
      <c r="O152" s="108">
        <v>45243</v>
      </c>
      <c r="P152" s="10">
        <f>+L152-N152</f>
        <v>-6</v>
      </c>
      <c r="Q152" s="10">
        <f>+N152-O152</f>
        <v>0</v>
      </c>
      <c r="R152" s="10">
        <f>+L152-O152</f>
        <v>-6</v>
      </c>
      <c r="S152" s="10">
        <f>+R152-30</f>
        <v>-36</v>
      </c>
    </row>
    <row r="153" spans="1:19" ht="15" x14ac:dyDescent="0.25">
      <c r="A153" s="190" t="s">
        <v>232</v>
      </c>
      <c r="B153" s="192">
        <v>45230</v>
      </c>
      <c r="C153" s="190" t="s">
        <v>566</v>
      </c>
      <c r="D153" s="194">
        <v>6.58</v>
      </c>
      <c r="E153">
        <v>29</v>
      </c>
      <c r="L153" s="192">
        <v>45230</v>
      </c>
      <c r="N153" s="108">
        <v>45260</v>
      </c>
      <c r="O153" s="108">
        <v>45260</v>
      </c>
      <c r="P153" s="10">
        <f>+L153-N153</f>
        <v>-30</v>
      </c>
      <c r="Q153" s="10">
        <f>+N153-O153</f>
        <v>0</v>
      </c>
      <c r="R153" s="10">
        <f>+L153-O153</f>
        <v>-30</v>
      </c>
      <c r="S153" s="10">
        <f>+R153-30</f>
        <v>-60</v>
      </c>
    </row>
    <row r="154" spans="1:19" ht="15" x14ac:dyDescent="0.25">
      <c r="A154" s="190" t="s">
        <v>233</v>
      </c>
      <c r="B154" s="192">
        <v>45240</v>
      </c>
      <c r="C154" s="190" t="s">
        <v>567</v>
      </c>
      <c r="D154" s="194">
        <v>10285</v>
      </c>
      <c r="E154">
        <v>29</v>
      </c>
      <c r="L154" s="192">
        <v>45240</v>
      </c>
      <c r="N154" s="108">
        <v>45243</v>
      </c>
      <c r="O154" s="108">
        <v>45243</v>
      </c>
      <c r="P154" s="10">
        <f>+L154-N154</f>
        <v>-3</v>
      </c>
      <c r="Q154" s="10">
        <f>+N154-O154</f>
        <v>0</v>
      </c>
      <c r="R154" s="10">
        <f>+L154-O154</f>
        <v>-3</v>
      </c>
      <c r="S154" s="10">
        <f>+R154-30</f>
        <v>-33</v>
      </c>
    </row>
    <row r="155" spans="1:19" ht="15" x14ac:dyDescent="0.25">
      <c r="A155" s="190" t="s">
        <v>235</v>
      </c>
      <c r="B155" s="192">
        <v>45242</v>
      </c>
      <c r="C155" s="190" t="s">
        <v>471</v>
      </c>
      <c r="D155" s="194">
        <v>340.01</v>
      </c>
      <c r="E155">
        <v>29</v>
      </c>
      <c r="L155" s="192">
        <v>45242</v>
      </c>
      <c r="N155" s="108">
        <v>45243</v>
      </c>
      <c r="O155" s="108">
        <v>45243</v>
      </c>
      <c r="P155" s="10">
        <f>+L155-N155</f>
        <v>-1</v>
      </c>
      <c r="Q155" s="10">
        <f>+N155-O155</f>
        <v>0</v>
      </c>
      <c r="R155" s="10">
        <f>+L155-O155</f>
        <v>-1</v>
      </c>
      <c r="S155" s="10">
        <f>+R155-30</f>
        <v>-31</v>
      </c>
    </row>
    <row r="156" spans="1:19" ht="15" x14ac:dyDescent="0.25">
      <c r="A156" s="190" t="s">
        <v>239</v>
      </c>
      <c r="B156" s="192">
        <v>45229</v>
      </c>
      <c r="C156" s="190" t="s">
        <v>572</v>
      </c>
      <c r="D156" s="194">
        <v>453.75</v>
      </c>
      <c r="E156">
        <v>29</v>
      </c>
      <c r="L156" s="192">
        <v>45229</v>
      </c>
      <c r="N156" s="108">
        <v>45243</v>
      </c>
      <c r="O156" s="108">
        <v>45243</v>
      </c>
      <c r="P156" s="10">
        <f>+L156-N156</f>
        <v>-14</v>
      </c>
      <c r="Q156" s="10">
        <f>+N156-O156</f>
        <v>0</v>
      </c>
      <c r="R156" s="10">
        <f>+L156-O156</f>
        <v>-14</v>
      </c>
      <c r="S156" s="10">
        <f>+R156-30</f>
        <v>-44</v>
      </c>
    </row>
    <row r="157" spans="1:19" ht="15" x14ac:dyDescent="0.25">
      <c r="A157" s="190" t="s">
        <v>243</v>
      </c>
      <c r="B157" s="192">
        <v>45230</v>
      </c>
      <c r="C157" s="190" t="s">
        <v>576</v>
      </c>
      <c r="D157" s="194">
        <v>254.1</v>
      </c>
      <c r="E157">
        <v>29</v>
      </c>
      <c r="L157" s="192">
        <v>45230</v>
      </c>
      <c r="N157" s="108">
        <v>45259</v>
      </c>
      <c r="O157" s="108">
        <v>45259</v>
      </c>
      <c r="P157" s="10">
        <f>+L157-N157</f>
        <v>-29</v>
      </c>
      <c r="Q157" s="10">
        <f>+N157-O157</f>
        <v>0</v>
      </c>
      <c r="R157" s="10">
        <f>+L157-O157</f>
        <v>-29</v>
      </c>
      <c r="S157" s="10">
        <f>+R157-30</f>
        <v>-59</v>
      </c>
    </row>
    <row r="158" spans="1:19" ht="15" x14ac:dyDescent="0.25">
      <c r="A158" s="190" t="s">
        <v>244</v>
      </c>
      <c r="B158" s="192">
        <v>45235</v>
      </c>
      <c r="C158" s="190" t="s">
        <v>577</v>
      </c>
      <c r="D158" s="194">
        <v>24.05</v>
      </c>
      <c r="E158">
        <v>29</v>
      </c>
      <c r="L158" s="192">
        <v>45235</v>
      </c>
      <c r="N158" s="108">
        <v>45240</v>
      </c>
      <c r="O158" s="108">
        <v>45240</v>
      </c>
      <c r="P158" s="10">
        <f>+L158-N158</f>
        <v>-5</v>
      </c>
      <c r="Q158" s="10">
        <f>+N158-O158</f>
        <v>0</v>
      </c>
      <c r="R158" s="10">
        <f>+L158-O158</f>
        <v>-5</v>
      </c>
      <c r="S158" s="10">
        <f>+R158-30</f>
        <v>-35</v>
      </c>
    </row>
    <row r="159" spans="1:19" ht="15" x14ac:dyDescent="0.25">
      <c r="A159" s="190" t="s">
        <v>245</v>
      </c>
      <c r="B159" s="192">
        <v>45231</v>
      </c>
      <c r="C159" s="190" t="s">
        <v>578</v>
      </c>
      <c r="D159" s="194">
        <v>24.9</v>
      </c>
      <c r="E159">
        <v>29</v>
      </c>
      <c r="L159" s="192">
        <v>45231</v>
      </c>
      <c r="N159" s="108">
        <v>45236</v>
      </c>
      <c r="O159" s="108">
        <v>45236</v>
      </c>
      <c r="P159" s="10">
        <f>+L159-N159</f>
        <v>-5</v>
      </c>
      <c r="Q159" s="10">
        <f>+N159-O159</f>
        <v>0</v>
      </c>
      <c r="R159" s="10">
        <f>+L159-O159</f>
        <v>-5</v>
      </c>
      <c r="S159" s="10">
        <f>+R159-30</f>
        <v>-35</v>
      </c>
    </row>
    <row r="160" spans="1:19" ht="15" x14ac:dyDescent="0.25">
      <c r="A160" s="190" t="s">
        <v>246</v>
      </c>
      <c r="B160" s="192">
        <v>45239</v>
      </c>
      <c r="C160" s="190" t="s">
        <v>579</v>
      </c>
      <c r="D160" s="194">
        <v>23.79</v>
      </c>
      <c r="E160">
        <v>29</v>
      </c>
      <c r="L160" s="192">
        <v>45239</v>
      </c>
      <c r="N160" s="108">
        <v>45245</v>
      </c>
      <c r="O160" s="108">
        <v>45245</v>
      </c>
      <c r="P160" s="10">
        <f>+L160-N160</f>
        <v>-6</v>
      </c>
      <c r="Q160" s="10">
        <f>+N160-O160</f>
        <v>0</v>
      </c>
      <c r="R160" s="10">
        <f>+L160-O160</f>
        <v>-6</v>
      </c>
      <c r="S160" s="10">
        <f>+R160-30</f>
        <v>-36</v>
      </c>
    </row>
    <row r="161" spans="1:19" ht="15" x14ac:dyDescent="0.25">
      <c r="A161" s="190" t="s">
        <v>249</v>
      </c>
      <c r="B161" s="192">
        <v>45223</v>
      </c>
      <c r="C161" s="190" t="s">
        <v>582</v>
      </c>
      <c r="D161" s="194">
        <v>100.61</v>
      </c>
      <c r="E161">
        <v>29</v>
      </c>
      <c r="L161" s="192">
        <v>45223</v>
      </c>
      <c r="N161" s="108">
        <v>45231</v>
      </c>
      <c r="O161" s="108">
        <v>45231</v>
      </c>
      <c r="P161" s="10">
        <f>+L161-N161</f>
        <v>-8</v>
      </c>
      <c r="Q161" s="10">
        <f>+N161-O161</f>
        <v>0</v>
      </c>
      <c r="R161" s="10">
        <f>+L161-O161</f>
        <v>-8</v>
      </c>
      <c r="S161" s="10">
        <f>+R161-30</f>
        <v>-38</v>
      </c>
    </row>
    <row r="162" spans="1:19" ht="15" x14ac:dyDescent="0.25">
      <c r="A162" s="190" t="s">
        <v>256</v>
      </c>
      <c r="B162" s="192">
        <v>45245</v>
      </c>
      <c r="C162" s="190" t="s">
        <v>589</v>
      </c>
      <c r="D162" s="194">
        <v>105.3</v>
      </c>
      <c r="E162">
        <v>29</v>
      </c>
      <c r="L162" s="192">
        <v>45245</v>
      </c>
      <c r="N162" s="108">
        <v>45247</v>
      </c>
      <c r="O162" s="108">
        <v>45247</v>
      </c>
      <c r="P162" s="10">
        <f>+L162-N162</f>
        <v>-2</v>
      </c>
      <c r="Q162" s="10">
        <f>+N162-O162</f>
        <v>0</v>
      </c>
      <c r="R162" s="10">
        <f>+L162-O162</f>
        <v>-2</v>
      </c>
      <c r="S162" s="10">
        <f>+R162-30</f>
        <v>-32</v>
      </c>
    </row>
    <row r="163" spans="1:19" ht="15" x14ac:dyDescent="0.25">
      <c r="A163" s="190" t="s">
        <v>257</v>
      </c>
      <c r="B163" s="192">
        <v>45245</v>
      </c>
      <c r="C163" s="190" t="s">
        <v>590</v>
      </c>
      <c r="D163" s="194">
        <v>45.2</v>
      </c>
      <c r="E163">
        <v>29</v>
      </c>
      <c r="L163" s="192">
        <v>45245</v>
      </c>
      <c r="N163" s="108">
        <v>45247</v>
      </c>
      <c r="O163" s="108">
        <v>45247</v>
      </c>
      <c r="P163" s="10">
        <f>+L163-N163</f>
        <v>-2</v>
      </c>
      <c r="Q163" s="10">
        <f>+N163-O163</f>
        <v>0</v>
      </c>
      <c r="R163" s="10">
        <f>+L163-O163</f>
        <v>-2</v>
      </c>
      <c r="S163" s="10">
        <f>+R163-30</f>
        <v>-32</v>
      </c>
    </row>
    <row r="164" spans="1:19" ht="15" x14ac:dyDescent="0.25">
      <c r="A164" s="190" t="s">
        <v>258</v>
      </c>
      <c r="B164" s="192">
        <v>45243</v>
      </c>
      <c r="C164" s="190" t="s">
        <v>591</v>
      </c>
      <c r="D164" s="194">
        <v>5372.4</v>
      </c>
      <c r="E164">
        <v>29</v>
      </c>
      <c r="L164" s="192">
        <v>45243</v>
      </c>
      <c r="N164" s="108">
        <v>45259</v>
      </c>
      <c r="O164" s="108">
        <v>45259</v>
      </c>
      <c r="P164" s="10">
        <f>+L164-N164</f>
        <v>-16</v>
      </c>
      <c r="Q164" s="10">
        <f>+N164-O164</f>
        <v>0</v>
      </c>
      <c r="R164" s="10">
        <f>+L164-O164</f>
        <v>-16</v>
      </c>
      <c r="S164" s="10">
        <f>+R164-30</f>
        <v>-46</v>
      </c>
    </row>
    <row r="165" spans="1:19" ht="15" x14ac:dyDescent="0.25">
      <c r="A165" s="190" t="s">
        <v>259</v>
      </c>
      <c r="B165" s="192">
        <v>45247</v>
      </c>
      <c r="C165" s="190" t="s">
        <v>592</v>
      </c>
      <c r="D165" s="194">
        <v>64.92</v>
      </c>
      <c r="E165">
        <v>29</v>
      </c>
      <c r="L165" s="192">
        <v>45247</v>
      </c>
      <c r="N165" s="108">
        <v>45259</v>
      </c>
      <c r="O165" s="108">
        <v>45259</v>
      </c>
      <c r="P165" s="10">
        <f>+L165-N165</f>
        <v>-12</v>
      </c>
      <c r="Q165" s="10">
        <f>+N165-O165</f>
        <v>0</v>
      </c>
      <c r="R165" s="10">
        <f>+L165-O165</f>
        <v>-12</v>
      </c>
      <c r="S165" s="10">
        <f>+R165-30</f>
        <v>-42</v>
      </c>
    </row>
    <row r="166" spans="1:19" ht="15" x14ac:dyDescent="0.25">
      <c r="A166" s="190" t="s">
        <v>260</v>
      </c>
      <c r="B166" s="192">
        <v>45230</v>
      </c>
      <c r="C166" s="190" t="s">
        <v>593</v>
      </c>
      <c r="D166" s="194">
        <v>145.19999999999999</v>
      </c>
      <c r="E166">
        <v>29</v>
      </c>
      <c r="L166" s="192">
        <v>45230</v>
      </c>
      <c r="N166" s="108">
        <v>45259</v>
      </c>
      <c r="O166" s="108">
        <v>45259</v>
      </c>
      <c r="P166" s="10">
        <f>+L166-N166</f>
        <v>-29</v>
      </c>
      <c r="Q166" s="10">
        <f>+N166-O166</f>
        <v>0</v>
      </c>
      <c r="R166" s="10">
        <f>+L166-O166</f>
        <v>-29</v>
      </c>
      <c r="S166" s="10">
        <f>+R166-30</f>
        <v>-59</v>
      </c>
    </row>
    <row r="167" spans="1:19" ht="15" x14ac:dyDescent="0.25">
      <c r="A167" s="190" t="s">
        <v>261</v>
      </c>
      <c r="B167" s="192">
        <v>45243</v>
      </c>
      <c r="C167" s="190" t="s">
        <v>594</v>
      </c>
      <c r="D167" s="194">
        <v>43.56</v>
      </c>
      <c r="E167">
        <v>29</v>
      </c>
      <c r="L167" s="192">
        <v>45243</v>
      </c>
      <c r="N167" s="108">
        <v>45259</v>
      </c>
      <c r="O167" s="108">
        <v>45259</v>
      </c>
      <c r="P167" s="10">
        <f>+L167-N167</f>
        <v>-16</v>
      </c>
      <c r="Q167" s="10">
        <f>+N167-O167</f>
        <v>0</v>
      </c>
      <c r="R167" s="10">
        <f>+L167-O167</f>
        <v>-16</v>
      </c>
      <c r="S167" s="10">
        <f>+R167-30</f>
        <v>-46</v>
      </c>
    </row>
    <row r="168" spans="1:19" ht="15" x14ac:dyDescent="0.25">
      <c r="A168" s="190" t="s">
        <v>262</v>
      </c>
      <c r="B168" s="192">
        <v>45250</v>
      </c>
      <c r="C168" s="190" t="s">
        <v>595</v>
      </c>
      <c r="D168" s="194">
        <v>520</v>
      </c>
      <c r="E168">
        <v>29</v>
      </c>
      <c r="L168" s="192">
        <v>45250</v>
      </c>
      <c r="N168" s="108">
        <v>45259</v>
      </c>
      <c r="O168" s="108">
        <v>45259</v>
      </c>
      <c r="P168" s="10">
        <f>+L168-N168</f>
        <v>-9</v>
      </c>
      <c r="Q168" s="10">
        <f>+N168-O168</f>
        <v>0</v>
      </c>
      <c r="R168" s="10">
        <f>+L168-O168</f>
        <v>-9</v>
      </c>
      <c r="S168" s="10">
        <f>+R168-30</f>
        <v>-39</v>
      </c>
    </row>
    <row r="169" spans="1:19" ht="15" x14ac:dyDescent="0.25">
      <c r="A169" s="190" t="s">
        <v>264</v>
      </c>
      <c r="B169" s="192">
        <v>45236</v>
      </c>
      <c r="C169" s="190" t="s">
        <v>597</v>
      </c>
      <c r="D169" s="194">
        <v>316.27999999999997</v>
      </c>
      <c r="E169">
        <v>29</v>
      </c>
      <c r="L169" s="192">
        <v>45236</v>
      </c>
      <c r="N169" s="108">
        <v>45259</v>
      </c>
      <c r="O169" s="108">
        <v>45259</v>
      </c>
      <c r="P169" s="10">
        <f>+L169-N169</f>
        <v>-23</v>
      </c>
      <c r="Q169" s="10">
        <f>+N169-O169</f>
        <v>0</v>
      </c>
      <c r="R169" s="10">
        <f>+L169-O169</f>
        <v>-23</v>
      </c>
      <c r="S169" s="10">
        <f>+R169-30</f>
        <v>-53</v>
      </c>
    </row>
    <row r="170" spans="1:19" ht="15" x14ac:dyDescent="0.25">
      <c r="A170" s="190" t="s">
        <v>265</v>
      </c>
      <c r="B170" s="192">
        <v>45248</v>
      </c>
      <c r="C170" s="190" t="s">
        <v>598</v>
      </c>
      <c r="D170" s="194">
        <v>28.77</v>
      </c>
      <c r="E170">
        <v>29</v>
      </c>
      <c r="L170" s="192">
        <v>45248</v>
      </c>
      <c r="N170" s="108">
        <v>45252</v>
      </c>
      <c r="O170" s="108">
        <v>45252</v>
      </c>
      <c r="P170" s="10">
        <f>+L170-N170</f>
        <v>-4</v>
      </c>
      <c r="Q170" s="10">
        <f>+N170-O170</f>
        <v>0</v>
      </c>
      <c r="R170" s="10">
        <f>+L170-O170</f>
        <v>-4</v>
      </c>
      <c r="S170" s="10">
        <f>+R170-30</f>
        <v>-34</v>
      </c>
    </row>
    <row r="171" spans="1:19" ht="15" x14ac:dyDescent="0.25">
      <c r="A171" s="190" t="s">
        <v>266</v>
      </c>
      <c r="B171" s="192">
        <v>45252</v>
      </c>
      <c r="C171" s="190" t="s">
        <v>599</v>
      </c>
      <c r="D171" s="194">
        <v>24.22</v>
      </c>
      <c r="E171">
        <v>29</v>
      </c>
      <c r="L171" s="192">
        <v>45252</v>
      </c>
      <c r="N171" s="108">
        <v>45257</v>
      </c>
      <c r="O171" s="108">
        <v>45257</v>
      </c>
      <c r="P171" s="10">
        <f>+L171-N171</f>
        <v>-5</v>
      </c>
      <c r="Q171" s="10">
        <f>+N171-O171</f>
        <v>0</v>
      </c>
      <c r="R171" s="10">
        <f>+L171-O171</f>
        <v>-5</v>
      </c>
      <c r="S171" s="10">
        <f>+R171-30</f>
        <v>-35</v>
      </c>
    </row>
    <row r="172" spans="1:19" ht="15" x14ac:dyDescent="0.25">
      <c r="A172" s="190" t="s">
        <v>267</v>
      </c>
      <c r="B172" s="192">
        <v>45243</v>
      </c>
      <c r="C172" s="190" t="s">
        <v>600</v>
      </c>
      <c r="D172" s="194">
        <v>24.33</v>
      </c>
      <c r="E172">
        <v>29</v>
      </c>
      <c r="L172" s="192">
        <v>45243</v>
      </c>
      <c r="N172" s="108">
        <v>45246</v>
      </c>
      <c r="O172" s="108">
        <v>45246</v>
      </c>
      <c r="P172" s="10">
        <f>+L172-N172</f>
        <v>-3</v>
      </c>
      <c r="Q172" s="10">
        <f>+N172-O172</f>
        <v>0</v>
      </c>
      <c r="R172" s="10">
        <f>+L172-O172</f>
        <v>-3</v>
      </c>
      <c r="S172" s="10">
        <f>+R172-30</f>
        <v>-33</v>
      </c>
    </row>
    <row r="173" spans="1:19" ht="15" x14ac:dyDescent="0.25">
      <c r="A173" s="190" t="s">
        <v>271</v>
      </c>
      <c r="B173" s="192">
        <v>45253</v>
      </c>
      <c r="C173" s="190" t="s">
        <v>604</v>
      </c>
      <c r="D173" s="194">
        <v>434.38</v>
      </c>
      <c r="E173">
        <v>29</v>
      </c>
      <c r="L173" s="192">
        <v>45253</v>
      </c>
      <c r="N173" s="108">
        <v>45259</v>
      </c>
      <c r="O173" s="108">
        <v>45259</v>
      </c>
      <c r="P173" s="10">
        <f>+L173-N173</f>
        <v>-6</v>
      </c>
      <c r="Q173" s="10">
        <f>+N173-O173</f>
        <v>0</v>
      </c>
      <c r="R173" s="10">
        <f>+L173-O173</f>
        <v>-6</v>
      </c>
      <c r="S173" s="10">
        <f>+R173-30</f>
        <v>-36</v>
      </c>
    </row>
    <row r="174" spans="1:19" ht="15" x14ac:dyDescent="0.25">
      <c r="A174" s="190" t="s">
        <v>272</v>
      </c>
      <c r="B174" s="192">
        <v>45254</v>
      </c>
      <c r="C174" s="190" t="s">
        <v>605</v>
      </c>
      <c r="D174" s="194">
        <v>1402.35</v>
      </c>
      <c r="E174">
        <v>29</v>
      </c>
      <c r="L174" s="192">
        <v>45254</v>
      </c>
      <c r="N174" s="108">
        <v>45259</v>
      </c>
      <c r="O174" s="108">
        <v>45259</v>
      </c>
      <c r="P174" s="10">
        <f>+L174-N174</f>
        <v>-5</v>
      </c>
      <c r="Q174" s="10">
        <f>+N174-O174</f>
        <v>0</v>
      </c>
      <c r="R174" s="10">
        <f>+L174-O174</f>
        <v>-5</v>
      </c>
      <c r="S174" s="10">
        <f>+R174-30</f>
        <v>-35</v>
      </c>
    </row>
    <row r="175" spans="1:19" ht="15" x14ac:dyDescent="0.25">
      <c r="A175" s="190" t="s">
        <v>273</v>
      </c>
      <c r="B175" s="192">
        <v>45253</v>
      </c>
      <c r="C175" s="190" t="s">
        <v>606</v>
      </c>
      <c r="D175" s="194">
        <v>2485.02</v>
      </c>
      <c r="E175">
        <v>29</v>
      </c>
      <c r="L175" s="192">
        <v>45253</v>
      </c>
      <c r="N175" s="108">
        <v>45259</v>
      </c>
      <c r="O175" s="108">
        <v>45259</v>
      </c>
      <c r="P175" s="10">
        <f>+L175-N175</f>
        <v>-6</v>
      </c>
      <c r="Q175" s="10">
        <f>+N175-O175</f>
        <v>0</v>
      </c>
      <c r="R175" s="10">
        <f>+L175-O175</f>
        <v>-6</v>
      </c>
      <c r="S175" s="10">
        <f>+R175-30</f>
        <v>-36</v>
      </c>
    </row>
    <row r="176" spans="1:19" ht="15" x14ac:dyDescent="0.25">
      <c r="A176" s="190" t="s">
        <v>274</v>
      </c>
      <c r="B176" s="192">
        <v>45261</v>
      </c>
      <c r="C176" s="190" t="s">
        <v>607</v>
      </c>
      <c r="D176" s="194">
        <v>0.21</v>
      </c>
      <c r="E176">
        <v>29</v>
      </c>
      <c r="L176" s="192">
        <v>45261</v>
      </c>
      <c r="N176" s="108">
        <v>45261</v>
      </c>
      <c r="O176" s="108">
        <v>45261</v>
      </c>
      <c r="P176" s="10">
        <f>+L176-N176</f>
        <v>0</v>
      </c>
      <c r="Q176" s="10">
        <f>+N176-O176</f>
        <v>0</v>
      </c>
      <c r="R176" s="10">
        <f>+L176-O176</f>
        <v>0</v>
      </c>
      <c r="S176" s="10">
        <f>+R176-30</f>
        <v>-30</v>
      </c>
    </row>
    <row r="177" spans="1:19" ht="15" x14ac:dyDescent="0.25">
      <c r="A177" s="190" t="s">
        <v>275</v>
      </c>
      <c r="B177" s="192">
        <v>45261</v>
      </c>
      <c r="C177" s="190" t="s">
        <v>608</v>
      </c>
      <c r="D177" s="194">
        <v>137.34</v>
      </c>
      <c r="E177">
        <v>29</v>
      </c>
      <c r="L177" s="192">
        <v>45261</v>
      </c>
      <c r="N177" s="108">
        <v>45261</v>
      </c>
      <c r="O177" s="108">
        <v>45261</v>
      </c>
      <c r="P177" s="10">
        <f>+L177-N177</f>
        <v>0</v>
      </c>
      <c r="Q177" s="10">
        <f>+N177-O177</f>
        <v>0</v>
      </c>
      <c r="R177" s="10">
        <f>+L177-O177</f>
        <v>0</v>
      </c>
      <c r="S177" s="10">
        <f>+R177-30</f>
        <v>-30</v>
      </c>
    </row>
    <row r="178" spans="1:19" ht="15" x14ac:dyDescent="0.25">
      <c r="A178" s="190" t="s">
        <v>277</v>
      </c>
      <c r="B178" s="192">
        <v>45257</v>
      </c>
      <c r="C178" s="190" t="s">
        <v>610</v>
      </c>
      <c r="D178" s="194">
        <v>624</v>
      </c>
      <c r="E178">
        <v>29</v>
      </c>
      <c r="L178" s="192">
        <v>45257</v>
      </c>
      <c r="N178" s="108">
        <v>45259</v>
      </c>
      <c r="O178" s="108">
        <v>45259</v>
      </c>
      <c r="P178" s="10">
        <f>+L178-N178</f>
        <v>-2</v>
      </c>
      <c r="Q178" s="10">
        <f>+N178-O178</f>
        <v>0</v>
      </c>
      <c r="R178" s="10">
        <f>+L178-O178</f>
        <v>-2</v>
      </c>
      <c r="S178" s="10">
        <f>+R178-30</f>
        <v>-32</v>
      </c>
    </row>
    <row r="179" spans="1:19" ht="15" x14ac:dyDescent="0.25">
      <c r="A179" s="190" t="s">
        <v>278</v>
      </c>
      <c r="B179" s="192">
        <v>45250</v>
      </c>
      <c r="C179" s="190" t="s">
        <v>611</v>
      </c>
      <c r="D179" s="194">
        <v>1028.5</v>
      </c>
      <c r="E179">
        <v>29</v>
      </c>
      <c r="L179" s="192">
        <v>45250</v>
      </c>
      <c r="N179" s="108">
        <v>45259</v>
      </c>
      <c r="O179" s="108">
        <v>45259</v>
      </c>
      <c r="P179" s="10">
        <f>+L179-N179</f>
        <v>-9</v>
      </c>
      <c r="Q179" s="10">
        <f>+N179-O179</f>
        <v>0</v>
      </c>
      <c r="R179" s="10">
        <f>+L179-O179</f>
        <v>-9</v>
      </c>
      <c r="S179" s="10">
        <f>+R179-30</f>
        <v>-39</v>
      </c>
    </row>
    <row r="180" spans="1:19" ht="15" x14ac:dyDescent="0.25">
      <c r="A180" s="190" t="s">
        <v>281</v>
      </c>
      <c r="B180" s="192">
        <v>45258</v>
      </c>
      <c r="C180" s="190" t="s">
        <v>614</v>
      </c>
      <c r="D180" s="194">
        <v>1331</v>
      </c>
      <c r="E180">
        <v>29</v>
      </c>
      <c r="L180" s="192">
        <v>45258</v>
      </c>
      <c r="N180" s="108">
        <v>45259</v>
      </c>
      <c r="O180" s="108">
        <v>45259</v>
      </c>
      <c r="P180" s="10">
        <f>+L180-N180</f>
        <v>-1</v>
      </c>
      <c r="Q180" s="10">
        <f>+N180-O180</f>
        <v>0</v>
      </c>
      <c r="R180" s="10">
        <f>+L180-O180</f>
        <v>-1</v>
      </c>
      <c r="S180" s="10">
        <f>+R180-30</f>
        <v>-31</v>
      </c>
    </row>
    <row r="181" spans="1:19" ht="15" x14ac:dyDescent="0.25">
      <c r="A181" s="190" t="s">
        <v>282</v>
      </c>
      <c r="B181" s="192">
        <v>45260</v>
      </c>
      <c r="C181" s="190" t="s">
        <v>615</v>
      </c>
      <c r="D181" s="194">
        <v>424.06</v>
      </c>
      <c r="E181">
        <v>29</v>
      </c>
      <c r="L181" s="192">
        <v>45260</v>
      </c>
      <c r="N181" s="108">
        <v>45259</v>
      </c>
      <c r="O181" s="108">
        <v>45259</v>
      </c>
      <c r="P181" s="10">
        <f>+L181-N181</f>
        <v>1</v>
      </c>
      <c r="Q181" s="10">
        <f>+N181-O181</f>
        <v>0</v>
      </c>
      <c r="R181" s="10">
        <f>+L181-O181</f>
        <v>1</v>
      </c>
      <c r="S181" s="10">
        <f>+R181-30</f>
        <v>-29</v>
      </c>
    </row>
    <row r="182" spans="1:19" ht="15" x14ac:dyDescent="0.25">
      <c r="A182" s="190" t="s">
        <v>283</v>
      </c>
      <c r="B182" s="192">
        <v>45258</v>
      </c>
      <c r="C182" s="190" t="s">
        <v>616</v>
      </c>
      <c r="D182" s="194">
        <v>5664</v>
      </c>
      <c r="E182">
        <v>29</v>
      </c>
      <c r="L182" s="192">
        <v>45258</v>
      </c>
      <c r="N182" s="108">
        <v>45259</v>
      </c>
      <c r="O182" s="108">
        <v>45259</v>
      </c>
      <c r="P182" s="10">
        <f>+L182-N182</f>
        <v>-1</v>
      </c>
      <c r="Q182" s="10">
        <f>+N182-O182</f>
        <v>0</v>
      </c>
      <c r="R182" s="10">
        <f>+L182-O182</f>
        <v>-1</v>
      </c>
      <c r="S182" s="10">
        <f>+R182-30</f>
        <v>-31</v>
      </c>
    </row>
    <row r="183" spans="1:19" ht="15" x14ac:dyDescent="0.25">
      <c r="A183" s="190" t="s">
        <v>285</v>
      </c>
      <c r="B183" s="192">
        <v>45259</v>
      </c>
      <c r="C183" s="190" t="s">
        <v>618</v>
      </c>
      <c r="D183" s="194">
        <v>107.45</v>
      </c>
      <c r="E183">
        <v>29</v>
      </c>
      <c r="L183" s="192">
        <v>45259</v>
      </c>
      <c r="N183" s="108">
        <v>45275</v>
      </c>
      <c r="O183" s="108">
        <v>45275</v>
      </c>
      <c r="P183" s="10">
        <f>+L183-N183</f>
        <v>-16</v>
      </c>
      <c r="Q183" s="10">
        <f>+N183-O183</f>
        <v>0</v>
      </c>
      <c r="R183" s="10">
        <f>+L183-O183</f>
        <v>-16</v>
      </c>
      <c r="S183" s="10">
        <f>+R183-30</f>
        <v>-46</v>
      </c>
    </row>
    <row r="184" spans="1:19" ht="15" x14ac:dyDescent="0.25">
      <c r="A184" s="190" t="s">
        <v>288</v>
      </c>
      <c r="B184" s="192">
        <v>45257</v>
      </c>
      <c r="C184" s="190" t="s">
        <v>621</v>
      </c>
      <c r="D184" s="194">
        <v>29.22</v>
      </c>
      <c r="E184">
        <v>29</v>
      </c>
      <c r="L184" s="192">
        <v>45257</v>
      </c>
      <c r="N184" s="108">
        <v>45260</v>
      </c>
      <c r="O184" s="108">
        <v>45260</v>
      </c>
      <c r="P184" s="10">
        <f>+L184-N184</f>
        <v>-3</v>
      </c>
      <c r="Q184" s="10">
        <f>+N184-O184</f>
        <v>0</v>
      </c>
      <c r="R184" s="10">
        <f>+L184-O184</f>
        <v>-3</v>
      </c>
      <c r="S184" s="10">
        <f>+R184-30</f>
        <v>-33</v>
      </c>
    </row>
    <row r="185" spans="1:19" ht="15" x14ac:dyDescent="0.25">
      <c r="A185" s="190" t="s">
        <v>289</v>
      </c>
      <c r="B185" s="192">
        <v>45260</v>
      </c>
      <c r="C185" s="190" t="s">
        <v>622</v>
      </c>
      <c r="D185" s="194">
        <v>1464.06</v>
      </c>
      <c r="E185">
        <v>29</v>
      </c>
      <c r="L185" s="192">
        <v>45260</v>
      </c>
      <c r="N185" s="108">
        <v>45260</v>
      </c>
      <c r="O185" s="108">
        <v>45260</v>
      </c>
      <c r="P185" s="10">
        <f>+L185-N185</f>
        <v>0</v>
      </c>
      <c r="Q185" s="10">
        <f>+N185-O185</f>
        <v>0</v>
      </c>
      <c r="R185" s="10">
        <f>+L185-O185</f>
        <v>0</v>
      </c>
      <c r="S185" s="10">
        <f>+R185-30</f>
        <v>-30</v>
      </c>
    </row>
    <row r="186" spans="1:19" ht="15" x14ac:dyDescent="0.25">
      <c r="A186" s="190" t="s">
        <v>290</v>
      </c>
      <c r="B186" s="192">
        <v>45260</v>
      </c>
      <c r="C186" s="190" t="s">
        <v>623</v>
      </c>
      <c r="D186" s="194">
        <v>1108.17</v>
      </c>
      <c r="E186">
        <v>29</v>
      </c>
      <c r="L186" s="192">
        <v>45260</v>
      </c>
      <c r="N186" s="108">
        <v>45260</v>
      </c>
      <c r="O186" s="108">
        <v>45260</v>
      </c>
      <c r="P186" s="10">
        <f>+L186-N186</f>
        <v>0</v>
      </c>
      <c r="Q186" s="10">
        <f>+N186-O186</f>
        <v>0</v>
      </c>
      <c r="R186" s="10">
        <f>+L186-O186</f>
        <v>0</v>
      </c>
      <c r="S186" s="10">
        <f>+R186-30</f>
        <v>-30</v>
      </c>
    </row>
    <row r="187" spans="1:19" ht="15" x14ac:dyDescent="0.25">
      <c r="A187" s="190" t="s">
        <v>291</v>
      </c>
      <c r="B187" s="192">
        <v>45229</v>
      </c>
      <c r="C187" s="190" t="s">
        <v>624</v>
      </c>
      <c r="D187" s="194">
        <v>302.5</v>
      </c>
      <c r="E187">
        <v>29</v>
      </c>
      <c r="L187" s="192">
        <v>45229</v>
      </c>
      <c r="N187" s="108">
        <v>45275</v>
      </c>
      <c r="O187" s="108">
        <v>45275</v>
      </c>
      <c r="P187" s="10">
        <f>+L187-N187</f>
        <v>-46</v>
      </c>
      <c r="Q187" s="10">
        <f>+N187-O187</f>
        <v>0</v>
      </c>
      <c r="R187" s="10">
        <f>+L187-O187</f>
        <v>-46</v>
      </c>
      <c r="S187" s="10">
        <f>+R187-30</f>
        <v>-76</v>
      </c>
    </row>
    <row r="188" spans="1:19" ht="15" x14ac:dyDescent="0.25">
      <c r="A188" s="190" t="s">
        <v>292</v>
      </c>
      <c r="B188" s="192">
        <v>45260</v>
      </c>
      <c r="C188" s="190" t="s">
        <v>625</v>
      </c>
      <c r="D188" s="194">
        <v>962.99</v>
      </c>
      <c r="E188">
        <v>29</v>
      </c>
      <c r="L188" s="192">
        <v>45260</v>
      </c>
      <c r="N188" s="108">
        <v>45290</v>
      </c>
      <c r="O188" s="108">
        <v>45290</v>
      </c>
      <c r="P188" s="10">
        <f>+L188-N188</f>
        <v>-30</v>
      </c>
      <c r="Q188" s="10">
        <f>+N188-O188</f>
        <v>0</v>
      </c>
      <c r="R188" s="10">
        <f>+L188-O188</f>
        <v>-30</v>
      </c>
      <c r="S188" s="10">
        <f>+R188-30</f>
        <v>-60</v>
      </c>
    </row>
    <row r="189" spans="1:19" ht="15" x14ac:dyDescent="0.25">
      <c r="A189" s="190" t="s">
        <v>293</v>
      </c>
      <c r="B189" s="192">
        <v>45260</v>
      </c>
      <c r="C189" s="190" t="s">
        <v>626</v>
      </c>
      <c r="D189" s="194">
        <v>145.19999999999999</v>
      </c>
      <c r="E189">
        <v>29</v>
      </c>
      <c r="L189" s="192">
        <v>45260</v>
      </c>
      <c r="N189" s="108">
        <v>45275</v>
      </c>
      <c r="O189" s="108">
        <v>45275</v>
      </c>
      <c r="P189" s="10">
        <f>+L189-N189</f>
        <v>-15</v>
      </c>
      <c r="Q189" s="10">
        <f>+N189-O189</f>
        <v>0</v>
      </c>
      <c r="R189" s="10">
        <f>+L189-O189</f>
        <v>-15</v>
      </c>
      <c r="S189" s="10">
        <f>+R189-30</f>
        <v>-45</v>
      </c>
    </row>
    <row r="190" spans="1:19" ht="15" x14ac:dyDescent="0.25">
      <c r="A190" s="190" t="s">
        <v>294</v>
      </c>
      <c r="B190" s="192">
        <v>45261</v>
      </c>
      <c r="C190" s="190" t="s">
        <v>627</v>
      </c>
      <c r="D190" s="194">
        <v>693.98</v>
      </c>
      <c r="E190">
        <v>29</v>
      </c>
      <c r="L190" s="192">
        <v>45261</v>
      </c>
      <c r="N190" s="108">
        <v>45275</v>
      </c>
      <c r="O190" s="108">
        <v>45275</v>
      </c>
      <c r="P190" s="10">
        <f>+L190-N190</f>
        <v>-14</v>
      </c>
      <c r="Q190" s="10">
        <f>+N190-O190</f>
        <v>0</v>
      </c>
      <c r="R190" s="10">
        <f>+L190-O190</f>
        <v>-14</v>
      </c>
      <c r="S190" s="10">
        <f>+R190-30</f>
        <v>-44</v>
      </c>
    </row>
    <row r="191" spans="1:19" ht="15" x14ac:dyDescent="0.25">
      <c r="A191" s="190" t="s">
        <v>296</v>
      </c>
      <c r="B191" s="192">
        <v>45264</v>
      </c>
      <c r="C191" s="190" t="s">
        <v>629</v>
      </c>
      <c r="D191" s="194">
        <v>2874.96</v>
      </c>
      <c r="E191">
        <v>29</v>
      </c>
      <c r="L191" s="192">
        <v>45264</v>
      </c>
      <c r="N191" s="108">
        <v>45275</v>
      </c>
      <c r="O191" s="108">
        <v>45275</v>
      </c>
      <c r="P191" s="10">
        <f>+L191-N191</f>
        <v>-11</v>
      </c>
      <c r="Q191" s="10">
        <f>+N191-O191</f>
        <v>0</v>
      </c>
      <c r="R191" s="10">
        <f>+L191-O191</f>
        <v>-11</v>
      </c>
      <c r="S191" s="10">
        <f>+R191-30</f>
        <v>-41</v>
      </c>
    </row>
    <row r="192" spans="1:19" ht="15" x14ac:dyDescent="0.25">
      <c r="A192" s="190" t="s">
        <v>300</v>
      </c>
      <c r="B192" s="192">
        <v>45260</v>
      </c>
      <c r="C192" s="190" t="s">
        <v>633</v>
      </c>
      <c r="D192" s="194">
        <v>405.86</v>
      </c>
      <c r="E192">
        <v>29</v>
      </c>
      <c r="L192" s="192">
        <v>45260</v>
      </c>
      <c r="N192" s="108">
        <v>45266</v>
      </c>
      <c r="O192" s="108">
        <v>45266</v>
      </c>
      <c r="P192" s="10">
        <f>+L192-N192</f>
        <v>-6</v>
      </c>
      <c r="Q192" s="10">
        <f>+N192-O192</f>
        <v>0</v>
      </c>
      <c r="R192" s="10">
        <f>+L192-O192</f>
        <v>-6</v>
      </c>
      <c r="S192" s="10">
        <f>+R192-30</f>
        <v>-36</v>
      </c>
    </row>
    <row r="193" spans="1:19" ht="15" x14ac:dyDescent="0.25">
      <c r="A193" s="190" t="s">
        <v>301</v>
      </c>
      <c r="B193" s="192">
        <v>45265</v>
      </c>
      <c r="C193" s="190" t="s">
        <v>634</v>
      </c>
      <c r="D193" s="194">
        <v>424</v>
      </c>
      <c r="E193">
        <v>29</v>
      </c>
      <c r="L193" s="192">
        <v>45265</v>
      </c>
      <c r="N193" s="108">
        <v>45275</v>
      </c>
      <c r="O193" s="108">
        <v>45275</v>
      </c>
      <c r="P193" s="10">
        <f>+L193-N193</f>
        <v>-10</v>
      </c>
      <c r="Q193" s="10">
        <f>+N193-O193</f>
        <v>0</v>
      </c>
      <c r="R193" s="10">
        <f>+L193-O193</f>
        <v>-10</v>
      </c>
      <c r="S193" s="10">
        <f>+R193-30</f>
        <v>-40</v>
      </c>
    </row>
    <row r="194" spans="1:19" ht="15" x14ac:dyDescent="0.25">
      <c r="A194" s="190" t="s">
        <v>302</v>
      </c>
      <c r="B194" s="192">
        <v>45254</v>
      </c>
      <c r="C194" s="190" t="s">
        <v>635</v>
      </c>
      <c r="D194" s="194">
        <v>799.49</v>
      </c>
      <c r="E194">
        <v>29</v>
      </c>
      <c r="L194" s="192">
        <v>45254</v>
      </c>
      <c r="N194" s="108">
        <v>45275</v>
      </c>
      <c r="O194" s="108">
        <v>45275</v>
      </c>
      <c r="P194" s="10">
        <f>+L194-N194</f>
        <v>-21</v>
      </c>
      <c r="Q194" s="10">
        <f>+N194-O194</f>
        <v>0</v>
      </c>
      <c r="R194" s="10">
        <f>+L194-O194</f>
        <v>-21</v>
      </c>
      <c r="S194" s="10">
        <f>+R194-30</f>
        <v>-51</v>
      </c>
    </row>
    <row r="195" spans="1:19" ht="15" x14ac:dyDescent="0.25">
      <c r="A195" s="190" t="s">
        <v>307</v>
      </c>
      <c r="B195" s="192">
        <v>45260</v>
      </c>
      <c r="C195" s="190" t="s">
        <v>640</v>
      </c>
      <c r="D195" s="194">
        <v>237.16</v>
      </c>
      <c r="E195">
        <v>29</v>
      </c>
      <c r="L195" s="192">
        <v>45260</v>
      </c>
      <c r="N195" s="108">
        <v>45275</v>
      </c>
      <c r="O195" s="108">
        <v>45275</v>
      </c>
      <c r="P195" s="10">
        <f>+L195-N195</f>
        <v>-15</v>
      </c>
      <c r="Q195" s="10">
        <f>+N195-O195</f>
        <v>0</v>
      </c>
      <c r="R195" s="10">
        <f>+L195-O195</f>
        <v>-15</v>
      </c>
      <c r="S195" s="10">
        <f>+R195-30</f>
        <v>-45</v>
      </c>
    </row>
    <row r="196" spans="1:19" ht="15" x14ac:dyDescent="0.25">
      <c r="A196" s="190" t="s">
        <v>308</v>
      </c>
      <c r="B196" s="192">
        <v>45265</v>
      </c>
      <c r="C196" s="190" t="s">
        <v>641</v>
      </c>
      <c r="D196" s="194">
        <v>1151.92</v>
      </c>
      <c r="E196">
        <v>29</v>
      </c>
      <c r="L196" s="192">
        <v>45265</v>
      </c>
      <c r="N196" s="108">
        <v>45275</v>
      </c>
      <c r="O196" s="108">
        <v>45275</v>
      </c>
      <c r="P196" s="10">
        <f>+L196-N196</f>
        <v>-10</v>
      </c>
      <c r="Q196" s="10">
        <f>+N196-O196</f>
        <v>0</v>
      </c>
      <c r="R196" s="10">
        <f>+L196-O196</f>
        <v>-10</v>
      </c>
      <c r="S196" s="10">
        <f>+R196-30</f>
        <v>-40</v>
      </c>
    </row>
    <row r="197" spans="1:19" ht="15" x14ac:dyDescent="0.25">
      <c r="A197" s="190" t="s">
        <v>309</v>
      </c>
      <c r="B197" s="192">
        <v>45260</v>
      </c>
      <c r="C197" s="190" t="s">
        <v>642</v>
      </c>
      <c r="D197" s="194">
        <v>620.4</v>
      </c>
      <c r="E197">
        <v>29</v>
      </c>
      <c r="L197" s="192">
        <v>45260</v>
      </c>
      <c r="N197" s="108">
        <v>45275</v>
      </c>
      <c r="O197" s="108">
        <v>45275</v>
      </c>
      <c r="P197" s="10">
        <f>+L197-N197</f>
        <v>-15</v>
      </c>
      <c r="Q197" s="10">
        <f>+N197-O197</f>
        <v>0</v>
      </c>
      <c r="R197" s="10">
        <f>+L197-O197</f>
        <v>-15</v>
      </c>
      <c r="S197" s="10">
        <f>+R197-30</f>
        <v>-45</v>
      </c>
    </row>
    <row r="198" spans="1:19" ht="15" x14ac:dyDescent="0.25">
      <c r="A198" s="190" t="s">
        <v>310</v>
      </c>
      <c r="B198" s="192">
        <v>45233</v>
      </c>
      <c r="C198" s="190" t="s">
        <v>643</v>
      </c>
      <c r="D198" s="194">
        <v>301.39999999999998</v>
      </c>
      <c r="E198">
        <v>29</v>
      </c>
      <c r="L198" s="192">
        <v>45233</v>
      </c>
      <c r="N198" s="108">
        <v>45288</v>
      </c>
      <c r="O198" s="108">
        <v>45288</v>
      </c>
      <c r="P198" s="10">
        <f>+L198-N198</f>
        <v>-55</v>
      </c>
      <c r="Q198" s="10">
        <f>+N198-O198</f>
        <v>0</v>
      </c>
      <c r="R198" s="10">
        <f>+L198-O198</f>
        <v>-55</v>
      </c>
      <c r="S198" s="10">
        <f>+R198-30</f>
        <v>-85</v>
      </c>
    </row>
    <row r="199" spans="1:19" ht="15" x14ac:dyDescent="0.25">
      <c r="A199" s="190" t="s">
        <v>311</v>
      </c>
      <c r="B199" s="192">
        <v>45233</v>
      </c>
      <c r="C199" s="190" t="s">
        <v>644</v>
      </c>
      <c r="D199" s="194">
        <v>84.85</v>
      </c>
      <c r="E199">
        <v>29</v>
      </c>
      <c r="L199" s="192">
        <v>45233</v>
      </c>
      <c r="N199" s="108">
        <v>45288</v>
      </c>
      <c r="O199" s="108">
        <v>45288</v>
      </c>
      <c r="P199" s="10">
        <f>+L199-N199</f>
        <v>-55</v>
      </c>
      <c r="Q199" s="10">
        <f>+N199-O199</f>
        <v>0</v>
      </c>
      <c r="R199" s="10">
        <f>+L199-O199</f>
        <v>-55</v>
      </c>
      <c r="S199" s="10">
        <f>+R199-30</f>
        <v>-85</v>
      </c>
    </row>
    <row r="200" spans="1:19" ht="15" x14ac:dyDescent="0.25">
      <c r="A200" s="190" t="s">
        <v>317</v>
      </c>
      <c r="B200" s="192">
        <v>45264</v>
      </c>
      <c r="C200" s="190" t="s">
        <v>650</v>
      </c>
      <c r="D200" s="194">
        <v>500</v>
      </c>
      <c r="E200">
        <v>29</v>
      </c>
      <c r="L200" s="192">
        <v>45264</v>
      </c>
      <c r="N200" s="108">
        <v>45275</v>
      </c>
      <c r="O200" s="108">
        <v>45275</v>
      </c>
      <c r="P200" s="10">
        <f>+L200-N200</f>
        <v>-11</v>
      </c>
      <c r="Q200" s="10">
        <f>+N200-O200</f>
        <v>0</v>
      </c>
      <c r="R200" s="10">
        <f>+L200-O200</f>
        <v>-11</v>
      </c>
      <c r="S200" s="10">
        <f>+R200-30</f>
        <v>-41</v>
      </c>
    </row>
    <row r="201" spans="1:19" ht="15" x14ac:dyDescent="0.25">
      <c r="A201" s="190" t="s">
        <v>318</v>
      </c>
      <c r="B201" s="192">
        <v>45264</v>
      </c>
      <c r="C201" s="190" t="s">
        <v>651</v>
      </c>
      <c r="D201" s="194">
        <v>605</v>
      </c>
      <c r="E201">
        <v>29</v>
      </c>
      <c r="L201" s="192">
        <v>45264</v>
      </c>
      <c r="N201" s="108">
        <v>45275</v>
      </c>
      <c r="O201" s="108">
        <v>45275</v>
      </c>
      <c r="P201" s="10">
        <f>+L201-N201</f>
        <v>-11</v>
      </c>
      <c r="Q201" s="10">
        <f>+N201-O201</f>
        <v>0</v>
      </c>
      <c r="R201" s="10">
        <f>+L201-O201</f>
        <v>-11</v>
      </c>
      <c r="S201" s="10">
        <f>+R201-30</f>
        <v>-41</v>
      </c>
    </row>
    <row r="202" spans="1:19" ht="15" x14ac:dyDescent="0.25">
      <c r="A202" s="190" t="s">
        <v>319</v>
      </c>
      <c r="B202" s="192">
        <v>45264</v>
      </c>
      <c r="C202" s="190" t="s">
        <v>652</v>
      </c>
      <c r="D202" s="194">
        <v>70.400000000000006</v>
      </c>
      <c r="E202">
        <v>29</v>
      </c>
      <c r="L202" s="192">
        <v>45264</v>
      </c>
      <c r="N202" s="108">
        <v>45275</v>
      </c>
      <c r="O202" s="108">
        <v>45275</v>
      </c>
      <c r="P202" s="10">
        <f>+L202-N202</f>
        <v>-11</v>
      </c>
      <c r="Q202" s="10">
        <f>+N202-O202</f>
        <v>0</v>
      </c>
      <c r="R202" s="10">
        <f>+L202-O202</f>
        <v>-11</v>
      </c>
      <c r="S202" s="10">
        <f>+R202-30</f>
        <v>-41</v>
      </c>
    </row>
    <row r="203" spans="1:19" ht="15" x14ac:dyDescent="0.25">
      <c r="A203" s="190" t="s">
        <v>320</v>
      </c>
      <c r="B203" s="192">
        <v>45259</v>
      </c>
      <c r="C203" s="190" t="s">
        <v>653</v>
      </c>
      <c r="D203" s="194">
        <v>61.49</v>
      </c>
      <c r="E203">
        <v>29</v>
      </c>
      <c r="L203" s="192">
        <v>45259</v>
      </c>
      <c r="N203" s="108">
        <v>45279</v>
      </c>
      <c r="O203" s="108">
        <v>45279</v>
      </c>
      <c r="P203" s="10">
        <f>+L203-N203</f>
        <v>-20</v>
      </c>
      <c r="Q203" s="10">
        <f>+N203-O203</f>
        <v>0</v>
      </c>
      <c r="R203" s="10">
        <f>+L203-O203</f>
        <v>-20</v>
      </c>
      <c r="S203" s="10">
        <f>+R203-30</f>
        <v>-50</v>
      </c>
    </row>
    <row r="204" spans="1:19" ht="15" x14ac:dyDescent="0.25">
      <c r="A204" s="190" t="s">
        <v>321</v>
      </c>
      <c r="B204" s="192">
        <v>45259</v>
      </c>
      <c r="C204" s="190" t="s">
        <v>654</v>
      </c>
      <c r="D204" s="194">
        <v>23.94</v>
      </c>
      <c r="E204">
        <v>29</v>
      </c>
      <c r="L204" s="192">
        <v>45259</v>
      </c>
      <c r="N204" s="108">
        <v>45279</v>
      </c>
      <c r="O204" s="108">
        <v>45279</v>
      </c>
      <c r="P204" s="10">
        <f>+L204-N204</f>
        <v>-20</v>
      </c>
      <c r="Q204" s="10">
        <f>+N204-O204</f>
        <v>0</v>
      </c>
      <c r="R204" s="10">
        <f>+L204-O204</f>
        <v>-20</v>
      </c>
      <c r="S204" s="10">
        <f>+R204-30</f>
        <v>-50</v>
      </c>
    </row>
    <row r="205" spans="1:19" ht="15" x14ac:dyDescent="0.25">
      <c r="A205" s="190" t="s">
        <v>322</v>
      </c>
      <c r="B205" s="192">
        <v>45259</v>
      </c>
      <c r="C205" s="190" t="s">
        <v>655</v>
      </c>
      <c r="D205" s="194">
        <v>35.130000000000003</v>
      </c>
      <c r="E205">
        <v>29</v>
      </c>
      <c r="L205" s="192">
        <v>45259</v>
      </c>
      <c r="N205" s="108">
        <v>45279</v>
      </c>
      <c r="O205" s="108">
        <v>45279</v>
      </c>
      <c r="P205" s="10">
        <f>+L205-N205</f>
        <v>-20</v>
      </c>
      <c r="Q205" s="10">
        <f>+N205-O205</f>
        <v>0</v>
      </c>
      <c r="R205" s="10">
        <f>+L205-O205</f>
        <v>-20</v>
      </c>
      <c r="S205" s="10">
        <f>+R205-30</f>
        <v>-50</v>
      </c>
    </row>
    <row r="206" spans="1:19" ht="15" x14ac:dyDescent="0.25">
      <c r="A206" s="190" t="s">
        <v>323</v>
      </c>
      <c r="B206" s="192">
        <v>45259</v>
      </c>
      <c r="C206" s="190" t="s">
        <v>656</v>
      </c>
      <c r="D206" s="194">
        <v>28.5</v>
      </c>
      <c r="E206">
        <v>29</v>
      </c>
      <c r="L206" s="192">
        <v>45260</v>
      </c>
      <c r="N206" s="108">
        <v>45279</v>
      </c>
      <c r="O206" s="108">
        <v>45279</v>
      </c>
      <c r="P206" s="10">
        <f>+L206-N206</f>
        <v>-19</v>
      </c>
      <c r="Q206" s="10">
        <f>+N206-O206</f>
        <v>0</v>
      </c>
      <c r="R206" s="10">
        <f>+L206-O206</f>
        <v>-19</v>
      </c>
      <c r="S206" s="10">
        <f>+R206-30</f>
        <v>-49</v>
      </c>
    </row>
    <row r="207" spans="1:19" ht="15" x14ac:dyDescent="0.25">
      <c r="A207" s="190" t="s">
        <v>324</v>
      </c>
      <c r="B207" s="192">
        <v>45259</v>
      </c>
      <c r="C207" s="190" t="s">
        <v>657</v>
      </c>
      <c r="D207" s="194">
        <v>29.01</v>
      </c>
      <c r="E207">
        <v>29</v>
      </c>
      <c r="L207" s="192">
        <v>45259</v>
      </c>
      <c r="N207" s="108">
        <v>45279</v>
      </c>
      <c r="O207" s="108">
        <v>45279</v>
      </c>
      <c r="P207" s="10">
        <f>+L207-N207</f>
        <v>-20</v>
      </c>
      <c r="Q207" s="10">
        <f>+N207-O207</f>
        <v>0</v>
      </c>
      <c r="R207" s="10">
        <f>+L207-O207</f>
        <v>-20</v>
      </c>
      <c r="S207" s="10">
        <f>+R207-30</f>
        <v>-50</v>
      </c>
    </row>
    <row r="208" spans="1:19" ht="15" x14ac:dyDescent="0.25">
      <c r="A208" s="190" t="s">
        <v>325</v>
      </c>
      <c r="B208" s="192">
        <v>45259</v>
      </c>
      <c r="C208" s="190" t="s">
        <v>658</v>
      </c>
      <c r="D208" s="194">
        <v>1368.64</v>
      </c>
      <c r="E208">
        <v>29</v>
      </c>
      <c r="L208" s="192">
        <v>45259</v>
      </c>
      <c r="N208" s="108">
        <v>45279</v>
      </c>
      <c r="O208" s="108">
        <v>45279</v>
      </c>
      <c r="P208" s="10">
        <f>+L208-N208</f>
        <v>-20</v>
      </c>
      <c r="Q208" s="10">
        <f>+N208-O208</f>
        <v>0</v>
      </c>
      <c r="R208" s="10">
        <f>+L208-O208</f>
        <v>-20</v>
      </c>
      <c r="S208" s="10">
        <f>+R208-30</f>
        <v>-50</v>
      </c>
    </row>
    <row r="209" spans="1:19" ht="15" x14ac:dyDescent="0.25">
      <c r="A209" s="190" t="s">
        <v>326</v>
      </c>
      <c r="B209" s="192">
        <v>45259</v>
      </c>
      <c r="C209" s="190" t="s">
        <v>659</v>
      </c>
      <c r="D209" s="194">
        <v>399.37</v>
      </c>
      <c r="E209">
        <v>29</v>
      </c>
      <c r="L209" s="192">
        <v>45259</v>
      </c>
      <c r="N209" s="108">
        <v>45279</v>
      </c>
      <c r="O209" s="108">
        <v>45279</v>
      </c>
      <c r="P209" s="10">
        <f>+L209-N209</f>
        <v>-20</v>
      </c>
      <c r="Q209" s="10">
        <f>+N209-O209</f>
        <v>0</v>
      </c>
      <c r="R209" s="10">
        <f>+L209-O209</f>
        <v>-20</v>
      </c>
      <c r="S209" s="10">
        <f>+R209-30</f>
        <v>-50</v>
      </c>
    </row>
    <row r="210" spans="1:19" ht="15" x14ac:dyDescent="0.25">
      <c r="A210" s="190" t="s">
        <v>327</v>
      </c>
      <c r="B210" s="192">
        <v>45259</v>
      </c>
      <c r="C210" s="190" t="s">
        <v>660</v>
      </c>
      <c r="D210" s="194">
        <v>346.44</v>
      </c>
      <c r="E210">
        <v>29</v>
      </c>
      <c r="L210" s="192">
        <v>45259</v>
      </c>
      <c r="N210" s="108">
        <v>45279</v>
      </c>
      <c r="O210" s="108">
        <v>45279</v>
      </c>
      <c r="P210" s="10">
        <f>+L210-N210</f>
        <v>-20</v>
      </c>
      <c r="Q210" s="10">
        <f>+N210-O210</f>
        <v>0</v>
      </c>
      <c r="R210" s="10">
        <f>+L210-O210</f>
        <v>-20</v>
      </c>
      <c r="S210" s="10">
        <f>+R210-30</f>
        <v>-50</v>
      </c>
    </row>
    <row r="211" spans="1:19" ht="15" x14ac:dyDescent="0.25">
      <c r="A211" s="190" t="s">
        <v>328</v>
      </c>
      <c r="B211" s="192">
        <v>45259</v>
      </c>
      <c r="C211" s="190" t="s">
        <v>661</v>
      </c>
      <c r="D211" s="194">
        <v>373.82</v>
      </c>
      <c r="E211">
        <v>29</v>
      </c>
      <c r="L211" s="192">
        <v>45260</v>
      </c>
      <c r="N211" s="108">
        <v>45279</v>
      </c>
      <c r="O211" s="108">
        <v>45279</v>
      </c>
      <c r="P211" s="10">
        <f>+L211-N211</f>
        <v>-19</v>
      </c>
      <c r="Q211" s="10">
        <f>+N211-O211</f>
        <v>0</v>
      </c>
      <c r="R211" s="10">
        <f>+L211-O211</f>
        <v>-19</v>
      </c>
      <c r="S211" s="10">
        <f>+R211-30</f>
        <v>-49</v>
      </c>
    </row>
    <row r="212" spans="1:19" ht="15" x14ac:dyDescent="0.25">
      <c r="A212" s="190" t="s">
        <v>329</v>
      </c>
      <c r="B212" s="192">
        <v>45259</v>
      </c>
      <c r="C212" s="190" t="s">
        <v>662</v>
      </c>
      <c r="D212" s="194">
        <v>256.64</v>
      </c>
      <c r="E212">
        <v>29</v>
      </c>
      <c r="L212" s="192">
        <v>45259</v>
      </c>
      <c r="N212" s="108">
        <v>45279</v>
      </c>
      <c r="O212" s="108">
        <v>45279</v>
      </c>
      <c r="P212" s="10">
        <f>+L212-N212</f>
        <v>-20</v>
      </c>
      <c r="Q212" s="10">
        <f>+N212-O212</f>
        <v>0</v>
      </c>
      <c r="R212" s="10">
        <f>+L212-O212</f>
        <v>-20</v>
      </c>
      <c r="S212" s="10">
        <f>+R212-30</f>
        <v>-50</v>
      </c>
    </row>
    <row r="213" spans="1:19" ht="15" x14ac:dyDescent="0.25">
      <c r="A213" s="190" t="s">
        <v>330</v>
      </c>
      <c r="B213" s="192">
        <v>45259</v>
      </c>
      <c r="C213" s="190" t="s">
        <v>663</v>
      </c>
      <c r="D213" s="194">
        <v>78.900000000000006</v>
      </c>
      <c r="E213">
        <v>29</v>
      </c>
      <c r="L213" s="192">
        <v>45259</v>
      </c>
      <c r="N213" s="108">
        <v>45279</v>
      </c>
      <c r="O213" s="108">
        <v>45279</v>
      </c>
      <c r="P213" s="10">
        <f>+L213-N213</f>
        <v>-20</v>
      </c>
      <c r="Q213" s="10">
        <f>+N213-O213</f>
        <v>0</v>
      </c>
      <c r="R213" s="10">
        <f>+L213-O213</f>
        <v>-20</v>
      </c>
      <c r="S213" s="10">
        <f>+R213-30</f>
        <v>-50</v>
      </c>
    </row>
    <row r="214" spans="1:19" ht="15" x14ac:dyDescent="0.25">
      <c r="A214" s="190" t="s">
        <v>331</v>
      </c>
      <c r="B214" s="192">
        <v>45259</v>
      </c>
      <c r="C214" s="190" t="s">
        <v>664</v>
      </c>
      <c r="D214" s="194">
        <v>13.58</v>
      </c>
      <c r="E214">
        <v>29</v>
      </c>
      <c r="L214" s="192">
        <v>45259</v>
      </c>
      <c r="N214" s="108">
        <v>45279</v>
      </c>
      <c r="O214" s="108">
        <v>45279</v>
      </c>
      <c r="P214" s="10">
        <f>+L214-N214</f>
        <v>-20</v>
      </c>
      <c r="Q214" s="10">
        <f>+N214-O214</f>
        <v>0</v>
      </c>
      <c r="R214" s="10">
        <f>+L214-O214</f>
        <v>-20</v>
      </c>
      <c r="S214" s="10">
        <f>+R214-30</f>
        <v>-50</v>
      </c>
    </row>
    <row r="215" spans="1:19" ht="15" x14ac:dyDescent="0.25">
      <c r="A215" s="190" t="s">
        <v>332</v>
      </c>
      <c r="B215" s="192">
        <v>45259</v>
      </c>
      <c r="C215" s="190" t="s">
        <v>665</v>
      </c>
      <c r="D215" s="194">
        <v>10.68</v>
      </c>
      <c r="E215">
        <v>29</v>
      </c>
      <c r="L215" s="192">
        <v>45259</v>
      </c>
      <c r="N215" s="108">
        <v>45279</v>
      </c>
      <c r="O215" s="108">
        <v>45279</v>
      </c>
      <c r="P215" s="10">
        <f>+L215-N215</f>
        <v>-20</v>
      </c>
      <c r="Q215" s="10">
        <f>+N215-O215</f>
        <v>0</v>
      </c>
      <c r="R215" s="10">
        <f>+L215-O215</f>
        <v>-20</v>
      </c>
      <c r="S215" s="10">
        <f>+R215-30</f>
        <v>-50</v>
      </c>
    </row>
    <row r="216" spans="1:19" ht="15" x14ac:dyDescent="0.25">
      <c r="A216" s="190" t="s">
        <v>333</v>
      </c>
      <c r="B216" s="192">
        <v>45261</v>
      </c>
      <c r="C216" s="190" t="s">
        <v>666</v>
      </c>
      <c r="D216" s="194">
        <v>156</v>
      </c>
      <c r="E216">
        <v>29</v>
      </c>
      <c r="L216" s="192">
        <v>45261</v>
      </c>
      <c r="N216" s="108">
        <v>45267</v>
      </c>
      <c r="O216" s="108">
        <v>45267</v>
      </c>
      <c r="P216" s="10">
        <f>+L216-N216</f>
        <v>-6</v>
      </c>
      <c r="Q216" s="10">
        <f>+N216-O216</f>
        <v>0</v>
      </c>
      <c r="R216" s="10">
        <f>+L216-O216</f>
        <v>-6</v>
      </c>
      <c r="S216" s="10">
        <f>+R216-30</f>
        <v>-36</v>
      </c>
    </row>
    <row r="217" spans="1:19" ht="15" x14ac:dyDescent="0.25">
      <c r="A217" s="190" t="s">
        <v>334</v>
      </c>
      <c r="B217" s="192">
        <v>45263</v>
      </c>
      <c r="C217" s="190" t="s">
        <v>667</v>
      </c>
      <c r="D217" s="194">
        <v>20.28</v>
      </c>
      <c r="E217">
        <v>29</v>
      </c>
      <c r="L217" s="192">
        <v>45263</v>
      </c>
      <c r="N217" s="108">
        <v>45266</v>
      </c>
      <c r="O217" s="108">
        <v>45266</v>
      </c>
      <c r="P217" s="10">
        <f>+L217-N217</f>
        <v>-3</v>
      </c>
      <c r="Q217" s="10">
        <f>+N217-O217</f>
        <v>0</v>
      </c>
      <c r="R217" s="10">
        <f>+L217-O217</f>
        <v>-3</v>
      </c>
      <c r="S217" s="10">
        <f>+R217-30</f>
        <v>-33</v>
      </c>
    </row>
    <row r="218" spans="1:19" ht="15" x14ac:dyDescent="0.25">
      <c r="A218" s="190" t="s">
        <v>336</v>
      </c>
      <c r="B218" s="192">
        <v>45273</v>
      </c>
      <c r="C218" s="190" t="s">
        <v>669</v>
      </c>
      <c r="D218" s="194">
        <v>677.6</v>
      </c>
      <c r="E218">
        <v>29</v>
      </c>
      <c r="L218" s="192">
        <v>45273</v>
      </c>
      <c r="N218" s="108">
        <v>45275</v>
      </c>
      <c r="O218" s="108">
        <v>45275</v>
      </c>
      <c r="P218" s="10">
        <f>+L218-N218</f>
        <v>-2</v>
      </c>
      <c r="Q218" s="10">
        <f>+N218-O218</f>
        <v>0</v>
      </c>
      <c r="R218" s="10">
        <f>+L218-O218</f>
        <v>-2</v>
      </c>
      <c r="S218" s="10">
        <f>+R218-30</f>
        <v>-32</v>
      </c>
    </row>
    <row r="219" spans="1:19" ht="15" x14ac:dyDescent="0.25">
      <c r="A219" s="190" t="s">
        <v>337</v>
      </c>
      <c r="B219" s="192">
        <v>45273</v>
      </c>
      <c r="C219" s="190" t="s">
        <v>670</v>
      </c>
      <c r="D219" s="194">
        <v>1089</v>
      </c>
      <c r="E219">
        <v>29</v>
      </c>
      <c r="L219" s="192">
        <v>45273</v>
      </c>
      <c r="N219" s="108">
        <v>45275</v>
      </c>
      <c r="O219" s="108">
        <v>45275</v>
      </c>
      <c r="P219" s="10">
        <f>+L219-N219</f>
        <v>-2</v>
      </c>
      <c r="Q219" s="10">
        <f>+N219-O219</f>
        <v>0</v>
      </c>
      <c r="R219" s="10">
        <f>+L219-O219</f>
        <v>-2</v>
      </c>
      <c r="S219" s="10">
        <f>+R219-30</f>
        <v>-32</v>
      </c>
    </row>
    <row r="220" spans="1:19" ht="15" x14ac:dyDescent="0.25">
      <c r="A220" s="190" t="s">
        <v>338</v>
      </c>
      <c r="B220" s="192">
        <v>45272</v>
      </c>
      <c r="C220" s="190" t="s">
        <v>671</v>
      </c>
      <c r="D220" s="194">
        <v>3920.4</v>
      </c>
      <c r="E220">
        <v>29</v>
      </c>
      <c r="L220" s="192">
        <v>45272</v>
      </c>
      <c r="N220" s="108">
        <v>45275</v>
      </c>
      <c r="O220" s="108">
        <v>45275</v>
      </c>
      <c r="P220" s="10">
        <f>+L220-N220</f>
        <v>-3</v>
      </c>
      <c r="Q220" s="10">
        <f>+N220-O220</f>
        <v>0</v>
      </c>
      <c r="R220" s="10">
        <f>+L220-O220</f>
        <v>-3</v>
      </c>
      <c r="S220" s="10">
        <f>+R220-30</f>
        <v>-33</v>
      </c>
    </row>
    <row r="221" spans="1:19" ht="15" x14ac:dyDescent="0.25">
      <c r="A221" s="190" t="s">
        <v>339</v>
      </c>
      <c r="B221" s="192">
        <v>45265</v>
      </c>
      <c r="C221" s="190" t="s">
        <v>672</v>
      </c>
      <c r="D221" s="194">
        <v>484</v>
      </c>
      <c r="E221">
        <v>29</v>
      </c>
      <c r="L221" s="192">
        <v>45265</v>
      </c>
      <c r="N221" s="108">
        <v>45275</v>
      </c>
      <c r="O221" s="108">
        <v>45275</v>
      </c>
      <c r="P221" s="10">
        <f>+L221-N221</f>
        <v>-10</v>
      </c>
      <c r="Q221" s="10">
        <f>+N221-O221</f>
        <v>0</v>
      </c>
      <c r="R221" s="10">
        <f>+L221-O221</f>
        <v>-10</v>
      </c>
      <c r="S221" s="10">
        <f>+R221-30</f>
        <v>-40</v>
      </c>
    </row>
    <row r="222" spans="1:19" ht="15" x14ac:dyDescent="0.25">
      <c r="A222" s="190" t="s">
        <v>341</v>
      </c>
      <c r="B222" s="192">
        <v>45273</v>
      </c>
      <c r="C222" s="190" t="s">
        <v>674</v>
      </c>
      <c r="D222" s="194">
        <v>2420</v>
      </c>
      <c r="E222">
        <v>29</v>
      </c>
      <c r="L222" s="192">
        <v>45273</v>
      </c>
      <c r="N222" s="108">
        <v>45275</v>
      </c>
      <c r="O222" s="108">
        <v>45275</v>
      </c>
      <c r="P222" s="10">
        <f>+L222-N222</f>
        <v>-2</v>
      </c>
      <c r="Q222" s="10">
        <f>+N222-O222</f>
        <v>0</v>
      </c>
      <c r="R222" s="10">
        <f>+L222-O222</f>
        <v>-2</v>
      </c>
      <c r="S222" s="10">
        <f>+R222-30</f>
        <v>-32</v>
      </c>
    </row>
    <row r="223" spans="1:19" ht="15" x14ac:dyDescent="0.25">
      <c r="A223" s="190" t="s">
        <v>342</v>
      </c>
      <c r="B223" s="192">
        <v>45260</v>
      </c>
      <c r="C223" s="190" t="s">
        <v>675</v>
      </c>
      <c r="D223" s="194">
        <v>508.2</v>
      </c>
      <c r="E223">
        <v>29</v>
      </c>
      <c r="L223" s="192">
        <v>45260</v>
      </c>
      <c r="N223" s="108">
        <v>45275</v>
      </c>
      <c r="O223" s="108">
        <v>45275</v>
      </c>
      <c r="P223" s="10">
        <f>+L223-N223</f>
        <v>-15</v>
      </c>
      <c r="Q223" s="10">
        <f>+N223-O223</f>
        <v>0</v>
      </c>
      <c r="R223" s="10">
        <f>+L223-O223</f>
        <v>-15</v>
      </c>
      <c r="S223" s="10">
        <f>+R223-30</f>
        <v>-45</v>
      </c>
    </row>
    <row r="224" spans="1:19" ht="15" x14ac:dyDescent="0.25">
      <c r="A224" s="190" t="s">
        <v>343</v>
      </c>
      <c r="B224" s="192">
        <v>45260</v>
      </c>
      <c r="C224" s="190" t="s">
        <v>676</v>
      </c>
      <c r="D224" s="194">
        <v>399.3</v>
      </c>
      <c r="E224">
        <v>29</v>
      </c>
      <c r="L224" s="192">
        <v>45260</v>
      </c>
      <c r="N224" s="108">
        <v>45275</v>
      </c>
      <c r="O224" s="108">
        <v>45275</v>
      </c>
      <c r="P224" s="10">
        <f>+L224-N224</f>
        <v>-15</v>
      </c>
      <c r="Q224" s="10">
        <f>+N224-O224</f>
        <v>0</v>
      </c>
      <c r="R224" s="10">
        <f>+L224-O224</f>
        <v>-15</v>
      </c>
      <c r="S224" s="10">
        <f>+R224-30</f>
        <v>-45</v>
      </c>
    </row>
    <row r="225" spans="1:19" ht="15" x14ac:dyDescent="0.25">
      <c r="A225" s="190" t="s">
        <v>344</v>
      </c>
      <c r="B225" s="192">
        <v>45271</v>
      </c>
      <c r="C225" s="190" t="s">
        <v>677</v>
      </c>
      <c r="D225" s="194">
        <v>470</v>
      </c>
      <c r="E225">
        <v>29</v>
      </c>
      <c r="L225" s="192">
        <v>45271</v>
      </c>
      <c r="N225" s="108">
        <v>45275</v>
      </c>
      <c r="O225" s="108">
        <v>45275</v>
      </c>
      <c r="P225" s="10">
        <f>+L225-N225</f>
        <v>-4</v>
      </c>
      <c r="Q225" s="10">
        <f>+N225-O225</f>
        <v>0</v>
      </c>
      <c r="R225" s="10">
        <f>+L225-O225</f>
        <v>-4</v>
      </c>
      <c r="S225" s="10">
        <f>+R225-30</f>
        <v>-34</v>
      </c>
    </row>
    <row r="226" spans="1:19" ht="15" x14ac:dyDescent="0.25">
      <c r="A226" s="190" t="s">
        <v>345</v>
      </c>
      <c r="B226" s="192">
        <v>45275</v>
      </c>
      <c r="C226" s="190" t="s">
        <v>678</v>
      </c>
      <c r="D226" s="194">
        <v>484</v>
      </c>
      <c r="E226">
        <v>29</v>
      </c>
      <c r="L226" s="192">
        <v>45275</v>
      </c>
      <c r="N226" s="108">
        <v>45285</v>
      </c>
      <c r="O226" s="108">
        <v>45285</v>
      </c>
      <c r="P226" s="10">
        <f>+L226-N226</f>
        <v>-10</v>
      </c>
      <c r="Q226" s="10">
        <f>+N226-O226</f>
        <v>0</v>
      </c>
      <c r="R226" s="10">
        <f>+L226-O226</f>
        <v>-10</v>
      </c>
      <c r="S226" s="10">
        <f>+R226-30</f>
        <v>-40</v>
      </c>
    </row>
    <row r="227" spans="1:19" ht="15" x14ac:dyDescent="0.25">
      <c r="A227" s="190" t="s">
        <v>346</v>
      </c>
      <c r="B227" s="192">
        <v>45275</v>
      </c>
      <c r="C227" s="190" t="s">
        <v>679</v>
      </c>
      <c r="D227" s="194">
        <v>2.64</v>
      </c>
      <c r="E227">
        <v>29</v>
      </c>
      <c r="L227" s="192">
        <v>45275</v>
      </c>
      <c r="N227" s="108">
        <v>45279</v>
      </c>
      <c r="O227" s="108">
        <v>45279</v>
      </c>
      <c r="P227" s="10">
        <f>+L227-N227</f>
        <v>-4</v>
      </c>
      <c r="Q227" s="10">
        <f>+N227-O227</f>
        <v>0</v>
      </c>
      <c r="R227" s="10">
        <f>+L227-O227</f>
        <v>-4</v>
      </c>
      <c r="S227" s="10">
        <f>+R227-30</f>
        <v>-34</v>
      </c>
    </row>
    <row r="228" spans="1:19" ht="15" x14ac:dyDescent="0.25">
      <c r="A228" s="190" t="s">
        <v>351</v>
      </c>
      <c r="B228" s="192">
        <v>45275</v>
      </c>
      <c r="C228" s="190" t="s">
        <v>684</v>
      </c>
      <c r="D228" s="194">
        <v>-4.37</v>
      </c>
      <c r="E228">
        <v>29</v>
      </c>
      <c r="L228" s="192">
        <v>45275</v>
      </c>
      <c r="N228" s="108">
        <v>45279</v>
      </c>
      <c r="O228" s="108">
        <v>45279</v>
      </c>
      <c r="P228" s="10">
        <f>+L228-N228</f>
        <v>-4</v>
      </c>
      <c r="Q228" s="10">
        <f>+N228-O228</f>
        <v>0</v>
      </c>
      <c r="R228" s="10">
        <f>+L228-O228</f>
        <v>-4</v>
      </c>
      <c r="S228" s="10">
        <f>+R228-30</f>
        <v>-34</v>
      </c>
    </row>
    <row r="229" spans="1:19" ht="15" x14ac:dyDescent="0.25">
      <c r="A229" s="190" t="s">
        <v>353</v>
      </c>
      <c r="B229" s="192">
        <v>45275</v>
      </c>
      <c r="C229" s="190" t="s">
        <v>686</v>
      </c>
      <c r="D229" s="194">
        <v>3061.3</v>
      </c>
      <c r="E229">
        <v>29</v>
      </c>
      <c r="L229" s="192">
        <v>45275</v>
      </c>
      <c r="N229" s="108">
        <v>45280</v>
      </c>
      <c r="O229" s="108">
        <v>45280</v>
      </c>
      <c r="P229" s="10">
        <f>+L229-N229</f>
        <v>-5</v>
      </c>
      <c r="Q229" s="10">
        <f>+N229-O229</f>
        <v>0</v>
      </c>
      <c r="R229" s="10">
        <f>+L229-O229</f>
        <v>-5</v>
      </c>
      <c r="S229" s="10">
        <f>+R229-30</f>
        <v>-35</v>
      </c>
    </row>
    <row r="230" spans="1:19" ht="15" x14ac:dyDescent="0.25">
      <c r="A230" s="190" t="s">
        <v>354</v>
      </c>
      <c r="B230" s="192">
        <v>45275</v>
      </c>
      <c r="C230" s="190" t="s">
        <v>687</v>
      </c>
      <c r="D230" s="194">
        <v>2299</v>
      </c>
      <c r="E230">
        <v>29</v>
      </c>
      <c r="L230" s="192">
        <v>45275</v>
      </c>
      <c r="N230" s="108">
        <v>45280</v>
      </c>
      <c r="O230" s="108">
        <v>45280</v>
      </c>
      <c r="P230" s="10">
        <f>+L230-N230</f>
        <v>-5</v>
      </c>
      <c r="Q230" s="10">
        <f>+N230-O230</f>
        <v>0</v>
      </c>
      <c r="R230" s="10">
        <f>+L230-O230</f>
        <v>-5</v>
      </c>
      <c r="S230" s="10">
        <f>+R230-30</f>
        <v>-35</v>
      </c>
    </row>
    <row r="231" spans="1:19" ht="15" x14ac:dyDescent="0.25">
      <c r="A231" s="190" t="s">
        <v>355</v>
      </c>
      <c r="B231" s="192">
        <v>45252</v>
      </c>
      <c r="C231" s="190" t="s">
        <v>688</v>
      </c>
      <c r="D231" s="194">
        <v>121.22</v>
      </c>
      <c r="E231">
        <v>29</v>
      </c>
      <c r="L231" s="192">
        <v>45252</v>
      </c>
      <c r="N231" s="108">
        <v>45288</v>
      </c>
      <c r="O231" s="108">
        <v>45288</v>
      </c>
      <c r="P231" s="10">
        <f>+L231-N231</f>
        <v>-36</v>
      </c>
      <c r="Q231" s="10">
        <f>+N231-O231</f>
        <v>0</v>
      </c>
      <c r="R231" s="10">
        <f>+L231-O231</f>
        <v>-36</v>
      </c>
      <c r="S231" s="10">
        <f>+R231-30</f>
        <v>-66</v>
      </c>
    </row>
    <row r="232" spans="1:19" ht="15" x14ac:dyDescent="0.25">
      <c r="A232" s="190" t="s">
        <v>356</v>
      </c>
      <c r="B232" s="192">
        <v>45252</v>
      </c>
      <c r="C232" s="190" t="s">
        <v>689</v>
      </c>
      <c r="D232" s="194">
        <v>121.22</v>
      </c>
      <c r="E232">
        <v>29</v>
      </c>
      <c r="L232" s="192">
        <v>45252</v>
      </c>
      <c r="N232" s="108">
        <v>45288</v>
      </c>
      <c r="O232" s="108">
        <v>45288</v>
      </c>
      <c r="P232" s="10">
        <f>+L232-N232</f>
        <v>-36</v>
      </c>
      <c r="Q232" s="10">
        <f>+N232-O232</f>
        <v>0</v>
      </c>
      <c r="R232" s="10">
        <f>+L232-O232</f>
        <v>-36</v>
      </c>
      <c r="S232" s="10">
        <f>+R232-30</f>
        <v>-66</v>
      </c>
    </row>
    <row r="233" spans="1:19" ht="15" x14ac:dyDescent="0.25">
      <c r="A233" s="190" t="s">
        <v>358</v>
      </c>
      <c r="B233" s="192">
        <v>45278</v>
      </c>
      <c r="C233" s="190" t="s">
        <v>691</v>
      </c>
      <c r="D233" s="194">
        <v>1210</v>
      </c>
      <c r="E233">
        <v>29</v>
      </c>
      <c r="L233" s="192">
        <v>45278</v>
      </c>
      <c r="N233" s="108">
        <v>45280</v>
      </c>
      <c r="O233" s="108">
        <v>45280</v>
      </c>
      <c r="P233" s="10">
        <f>+L233-N233</f>
        <v>-2</v>
      </c>
      <c r="Q233" s="10">
        <f>+N233-O233</f>
        <v>0</v>
      </c>
      <c r="R233" s="10">
        <f>+L233-O233</f>
        <v>-2</v>
      </c>
      <c r="S233" s="10">
        <f>+R233-30</f>
        <v>-32</v>
      </c>
    </row>
    <row r="234" spans="1:19" ht="15" x14ac:dyDescent="0.25">
      <c r="A234" s="190" t="s">
        <v>359</v>
      </c>
      <c r="B234" s="192">
        <v>45278</v>
      </c>
      <c r="C234" s="190" t="s">
        <v>692</v>
      </c>
      <c r="D234" s="194">
        <v>2159.85</v>
      </c>
      <c r="E234">
        <v>29</v>
      </c>
      <c r="L234" s="192">
        <v>45278</v>
      </c>
      <c r="N234" s="108">
        <v>45280</v>
      </c>
      <c r="O234" s="108">
        <v>45280</v>
      </c>
      <c r="P234" s="10">
        <f>+L234-N234</f>
        <v>-2</v>
      </c>
      <c r="Q234" s="10">
        <f>+N234-O234</f>
        <v>0</v>
      </c>
      <c r="R234" s="10">
        <f>+L234-O234</f>
        <v>-2</v>
      </c>
      <c r="S234" s="10">
        <f>+R234-30</f>
        <v>-32</v>
      </c>
    </row>
    <row r="235" spans="1:19" ht="15" x14ac:dyDescent="0.25">
      <c r="A235" s="190" t="s">
        <v>360</v>
      </c>
      <c r="B235" s="192">
        <v>45278</v>
      </c>
      <c r="C235" s="190" t="s">
        <v>693</v>
      </c>
      <c r="D235" s="194">
        <v>2057</v>
      </c>
      <c r="E235">
        <v>29</v>
      </c>
      <c r="L235" s="192">
        <v>45278</v>
      </c>
      <c r="N235" s="108">
        <v>45280</v>
      </c>
      <c r="O235" s="108">
        <v>45280</v>
      </c>
      <c r="P235" s="10">
        <f>+L235-N235</f>
        <v>-2</v>
      </c>
      <c r="Q235" s="10">
        <f>+N235-O235</f>
        <v>0</v>
      </c>
      <c r="R235" s="10">
        <f>+L235-O235</f>
        <v>-2</v>
      </c>
      <c r="S235" s="10">
        <f>+R235-30</f>
        <v>-32</v>
      </c>
    </row>
    <row r="236" spans="1:19" ht="15" x14ac:dyDescent="0.25">
      <c r="A236" s="190" t="s">
        <v>364</v>
      </c>
      <c r="B236" s="192">
        <v>45280</v>
      </c>
      <c r="C236" s="190" t="s">
        <v>697</v>
      </c>
      <c r="D236" s="194">
        <v>272.25</v>
      </c>
      <c r="E236">
        <v>29</v>
      </c>
      <c r="L236" s="192">
        <v>45280</v>
      </c>
      <c r="N236" s="108">
        <v>45280</v>
      </c>
      <c r="O236" s="108">
        <v>45280</v>
      </c>
      <c r="P236" s="10">
        <f>+L236-N236</f>
        <v>0</v>
      </c>
      <c r="Q236" s="10">
        <f>+N236-O236</f>
        <v>0</v>
      </c>
      <c r="R236" s="10">
        <f>+L236-O236</f>
        <v>0</v>
      </c>
      <c r="S236" s="10">
        <f>+R236-30</f>
        <v>-30</v>
      </c>
    </row>
    <row r="237" spans="1:19" ht="15" x14ac:dyDescent="0.25">
      <c r="A237" s="190" t="s">
        <v>365</v>
      </c>
      <c r="B237" s="192">
        <v>45280</v>
      </c>
      <c r="C237" s="190" t="s">
        <v>698</v>
      </c>
      <c r="D237" s="194">
        <v>226.88</v>
      </c>
      <c r="E237">
        <v>29</v>
      </c>
      <c r="L237" s="192">
        <v>45280</v>
      </c>
      <c r="N237" s="108">
        <v>45280</v>
      </c>
      <c r="O237" s="108">
        <v>45280</v>
      </c>
      <c r="P237" s="10">
        <f>+L237-N237</f>
        <v>0</v>
      </c>
      <c r="Q237" s="10">
        <f>+N237-O237</f>
        <v>0</v>
      </c>
      <c r="R237" s="10">
        <f>+L237-O237</f>
        <v>0</v>
      </c>
      <c r="S237" s="10">
        <f>+R237-30</f>
        <v>-30</v>
      </c>
    </row>
    <row r="238" spans="1:19" ht="15" x14ac:dyDescent="0.25">
      <c r="A238" s="190" t="s">
        <v>366</v>
      </c>
      <c r="B238" s="192">
        <v>45279</v>
      </c>
      <c r="C238" s="190" t="s">
        <v>699</v>
      </c>
      <c r="D238" s="194">
        <v>620.67999999999995</v>
      </c>
      <c r="E238">
        <v>29</v>
      </c>
      <c r="L238" s="192">
        <v>45279</v>
      </c>
      <c r="N238" s="108">
        <v>45280</v>
      </c>
      <c r="O238" s="108">
        <v>45280</v>
      </c>
      <c r="P238" s="10">
        <f>+L238-N238</f>
        <v>-1</v>
      </c>
      <c r="Q238" s="10">
        <f>+N238-O238</f>
        <v>0</v>
      </c>
      <c r="R238" s="10">
        <f>+L238-O238</f>
        <v>-1</v>
      </c>
      <c r="S238" s="10">
        <f>+R238-30</f>
        <v>-31</v>
      </c>
    </row>
    <row r="239" spans="1:19" ht="15" x14ac:dyDescent="0.25">
      <c r="A239" s="190" t="s">
        <v>367</v>
      </c>
      <c r="B239" s="192">
        <v>45280</v>
      </c>
      <c r="C239" s="190" t="s">
        <v>700</v>
      </c>
      <c r="D239" s="194">
        <v>2500.0100000000002</v>
      </c>
      <c r="E239">
        <v>29</v>
      </c>
      <c r="L239" s="192">
        <v>45280</v>
      </c>
      <c r="N239" s="108">
        <v>45288</v>
      </c>
      <c r="O239" s="108">
        <v>45288</v>
      </c>
      <c r="P239" s="10">
        <f>+L239-N239</f>
        <v>-8</v>
      </c>
      <c r="Q239" s="10">
        <f>+N239-O239</f>
        <v>0</v>
      </c>
      <c r="R239" s="10">
        <f>+L239-O239</f>
        <v>-8</v>
      </c>
      <c r="S239" s="10">
        <f>+R239-30</f>
        <v>-38</v>
      </c>
    </row>
    <row r="240" spans="1:19" ht="15" x14ac:dyDescent="0.25">
      <c r="A240" s="190" t="s">
        <v>368</v>
      </c>
      <c r="B240" s="192">
        <v>45279</v>
      </c>
      <c r="C240" s="190" t="s">
        <v>701</v>
      </c>
      <c r="D240" s="194">
        <v>544.5</v>
      </c>
      <c r="E240">
        <v>29</v>
      </c>
      <c r="L240" s="192">
        <v>45279</v>
      </c>
      <c r="N240" s="108">
        <v>45288</v>
      </c>
      <c r="O240" s="108">
        <v>45288</v>
      </c>
      <c r="P240" s="10">
        <f>+L240-N240</f>
        <v>-9</v>
      </c>
      <c r="Q240" s="10">
        <f>+N240-O240</f>
        <v>0</v>
      </c>
      <c r="R240" s="10">
        <f>+L240-O240</f>
        <v>-9</v>
      </c>
      <c r="S240" s="10">
        <f>+R240-30</f>
        <v>-39</v>
      </c>
    </row>
    <row r="241" spans="1:19" ht="15" x14ac:dyDescent="0.25">
      <c r="A241" s="190" t="s">
        <v>372</v>
      </c>
      <c r="B241" s="192">
        <v>45281</v>
      </c>
      <c r="C241" s="190" t="s">
        <v>505</v>
      </c>
      <c r="D241" s="194">
        <v>544.5</v>
      </c>
      <c r="E241">
        <v>29</v>
      </c>
      <c r="L241" s="192">
        <v>45281</v>
      </c>
      <c r="N241" s="108">
        <v>45288</v>
      </c>
      <c r="O241" s="108">
        <v>45288</v>
      </c>
      <c r="P241" s="10">
        <f>+L241-N241</f>
        <v>-7</v>
      </c>
      <c r="Q241" s="10">
        <f>+N241-O241</f>
        <v>0</v>
      </c>
      <c r="R241" s="10">
        <f>+L241-O241</f>
        <v>-7</v>
      </c>
      <c r="S241" s="10">
        <f>+R241-30</f>
        <v>-37</v>
      </c>
    </row>
    <row r="242" spans="1:19" ht="15" x14ac:dyDescent="0.25">
      <c r="A242" s="190" t="s">
        <v>373</v>
      </c>
      <c r="B242" s="192">
        <v>45278</v>
      </c>
      <c r="C242" s="190" t="s">
        <v>705</v>
      </c>
      <c r="D242" s="194">
        <v>1458</v>
      </c>
      <c r="E242">
        <v>29</v>
      </c>
      <c r="L242" s="192">
        <v>45278</v>
      </c>
      <c r="N242" s="108">
        <v>45288</v>
      </c>
      <c r="O242" s="108">
        <v>45288</v>
      </c>
      <c r="P242" s="10">
        <f>+L242-N242</f>
        <v>-10</v>
      </c>
      <c r="Q242" s="10">
        <f>+N242-O242</f>
        <v>0</v>
      </c>
      <c r="R242" s="10">
        <f>+L242-O242</f>
        <v>-10</v>
      </c>
      <c r="S242" s="10">
        <f>+R242-30</f>
        <v>-40</v>
      </c>
    </row>
    <row r="243" spans="1:19" ht="15" x14ac:dyDescent="0.25">
      <c r="A243" s="190" t="s">
        <v>374</v>
      </c>
      <c r="B243" s="192">
        <v>45279</v>
      </c>
      <c r="C243" s="190" t="s">
        <v>706</v>
      </c>
      <c r="D243" s="194">
        <v>701</v>
      </c>
      <c r="E243">
        <v>29</v>
      </c>
      <c r="L243" s="192">
        <v>45279</v>
      </c>
      <c r="N243" s="108">
        <v>45288</v>
      </c>
      <c r="O243" s="108">
        <v>45288</v>
      </c>
      <c r="P243" s="10">
        <f>+L243-N243</f>
        <v>-9</v>
      </c>
      <c r="Q243" s="10">
        <f>+N243-O243</f>
        <v>0</v>
      </c>
      <c r="R243" s="10">
        <f>+L243-O243</f>
        <v>-9</v>
      </c>
      <c r="S243" s="10">
        <f>+R243-30</f>
        <v>-39</v>
      </c>
    </row>
    <row r="244" spans="1:19" ht="15" x14ac:dyDescent="0.25">
      <c r="A244" s="190" t="s">
        <v>375</v>
      </c>
      <c r="B244" s="192">
        <v>45281</v>
      </c>
      <c r="C244" s="190" t="s">
        <v>707</v>
      </c>
      <c r="D244" s="194">
        <v>35.200000000000003</v>
      </c>
      <c r="E244">
        <v>29</v>
      </c>
      <c r="L244" s="192">
        <v>45281</v>
      </c>
      <c r="N244" s="108">
        <v>45288</v>
      </c>
      <c r="O244" s="108">
        <v>45288</v>
      </c>
      <c r="P244" s="10">
        <f>+L244-N244</f>
        <v>-7</v>
      </c>
      <c r="Q244" s="10">
        <f>+N244-O244</f>
        <v>0</v>
      </c>
      <c r="R244" s="10">
        <f>+L244-O244</f>
        <v>-7</v>
      </c>
      <c r="S244" s="10">
        <f>+R244-30</f>
        <v>-37</v>
      </c>
    </row>
    <row r="245" spans="1:19" ht="15" x14ac:dyDescent="0.25">
      <c r="A245" s="190" t="s">
        <v>376</v>
      </c>
      <c r="B245" s="192">
        <v>45283</v>
      </c>
      <c r="C245" s="190" t="s">
        <v>708</v>
      </c>
      <c r="D245" s="194">
        <v>2546.4699999999998</v>
      </c>
      <c r="E245">
        <v>29</v>
      </c>
      <c r="L245" s="192">
        <v>45283</v>
      </c>
      <c r="N245" s="108">
        <v>45288</v>
      </c>
      <c r="O245" s="108">
        <v>45288</v>
      </c>
      <c r="P245" s="10">
        <f>+L245-N245</f>
        <v>-5</v>
      </c>
      <c r="Q245" s="10">
        <f>+N245-O245</f>
        <v>0</v>
      </c>
      <c r="R245" s="10">
        <f>+L245-O245</f>
        <v>-5</v>
      </c>
      <c r="S245" s="10">
        <f>+R245-30</f>
        <v>-35</v>
      </c>
    </row>
    <row r="246" spans="1:19" ht="15" x14ac:dyDescent="0.25">
      <c r="A246" s="190" t="s">
        <v>395</v>
      </c>
      <c r="B246" s="192">
        <v>45281</v>
      </c>
      <c r="C246" s="190" t="s">
        <v>726</v>
      </c>
      <c r="D246" s="194">
        <v>1000</v>
      </c>
      <c r="E246">
        <v>29</v>
      </c>
      <c r="L246" s="192">
        <v>45281</v>
      </c>
      <c r="N246" s="108">
        <v>45288</v>
      </c>
      <c r="O246" s="108">
        <v>45288</v>
      </c>
      <c r="P246" s="10">
        <f>+L246-N246</f>
        <v>-7</v>
      </c>
      <c r="Q246" s="10">
        <f>+N246-O246</f>
        <v>0</v>
      </c>
      <c r="R246" s="10">
        <f>+L246-O246</f>
        <v>-7</v>
      </c>
      <c r="S246" s="10">
        <f>+R246-30</f>
        <v>-37</v>
      </c>
    </row>
    <row r="247" spans="1:19" ht="15" x14ac:dyDescent="0.25">
      <c r="A247" s="190" t="s">
        <v>400</v>
      </c>
      <c r="B247" s="192">
        <v>45279</v>
      </c>
      <c r="C247" s="190" t="s">
        <v>731</v>
      </c>
      <c r="D247" s="194">
        <v>387.6</v>
      </c>
      <c r="E247">
        <v>29</v>
      </c>
      <c r="L247" s="192">
        <v>45279</v>
      </c>
      <c r="N247" s="108">
        <v>45288</v>
      </c>
      <c r="O247" s="108">
        <v>45288</v>
      </c>
      <c r="P247" s="10">
        <f>+L247-N247</f>
        <v>-9</v>
      </c>
      <c r="Q247" s="10">
        <f>+N247-O247</f>
        <v>0</v>
      </c>
      <c r="R247" s="10">
        <f>+L247-O247</f>
        <v>-9</v>
      </c>
      <c r="S247" s="10">
        <f>+R247-30</f>
        <v>-39</v>
      </c>
    </row>
    <row r="248" spans="1:19" ht="15" x14ac:dyDescent="0.25">
      <c r="A248" s="190" t="s">
        <v>401</v>
      </c>
      <c r="B248" s="192">
        <v>45279</v>
      </c>
      <c r="C248" s="190" t="s">
        <v>732</v>
      </c>
      <c r="D248" s="194">
        <v>1647.3</v>
      </c>
      <c r="E248">
        <v>29</v>
      </c>
      <c r="L248" s="192">
        <v>45279</v>
      </c>
      <c r="N248" s="108">
        <v>45288</v>
      </c>
      <c r="O248" s="108">
        <v>45288</v>
      </c>
      <c r="P248" s="10">
        <f>+L248-N248</f>
        <v>-9</v>
      </c>
      <c r="Q248" s="10">
        <f>+N248-O248</f>
        <v>0</v>
      </c>
      <c r="R248" s="10">
        <f>+L248-O248</f>
        <v>-9</v>
      </c>
      <c r="S248" s="10">
        <f>+R248-30</f>
        <v>-39</v>
      </c>
    </row>
    <row r="249" spans="1:19" ht="15" x14ac:dyDescent="0.25">
      <c r="A249" s="190" t="s">
        <v>434</v>
      </c>
      <c r="B249" s="192">
        <v>45260</v>
      </c>
      <c r="C249" s="190" t="s">
        <v>765</v>
      </c>
      <c r="D249" s="194">
        <v>19.71</v>
      </c>
      <c r="E249">
        <v>29</v>
      </c>
      <c r="L249" s="192">
        <v>45260</v>
      </c>
      <c r="N249" s="108">
        <v>45289</v>
      </c>
      <c r="O249" s="108">
        <v>45289</v>
      </c>
      <c r="P249" s="10">
        <f>+L249-N249</f>
        <v>-29</v>
      </c>
      <c r="Q249" s="10">
        <f>+N249-O249</f>
        <v>0</v>
      </c>
      <c r="R249" s="10">
        <f>+L249-O249</f>
        <v>-29</v>
      </c>
      <c r="S249" s="10">
        <f>+R249-30</f>
        <v>-59</v>
      </c>
    </row>
    <row r="250" spans="1:19" ht="15" x14ac:dyDescent="0.25">
      <c r="A250" s="190" t="s">
        <v>440</v>
      </c>
      <c r="B250" s="192">
        <v>45260</v>
      </c>
      <c r="C250" s="190" t="s">
        <v>771</v>
      </c>
      <c r="D250" s="194">
        <v>30</v>
      </c>
      <c r="E250">
        <v>29</v>
      </c>
      <c r="L250" s="192">
        <v>45260</v>
      </c>
      <c r="N250" s="108">
        <v>45280</v>
      </c>
      <c r="O250" s="108">
        <v>45280</v>
      </c>
      <c r="P250" s="10">
        <f>+L250-N250</f>
        <v>-20</v>
      </c>
      <c r="Q250" s="10">
        <f>+N250-O250</f>
        <v>0</v>
      </c>
      <c r="R250" s="10">
        <f>+L250-O250</f>
        <v>-20</v>
      </c>
      <c r="S250" s="10">
        <f>+R250-30</f>
        <v>-50</v>
      </c>
    </row>
    <row r="251" spans="1:19" ht="15" x14ac:dyDescent="0.25">
      <c r="A251" s="190" t="s">
        <v>442</v>
      </c>
      <c r="B251" s="192">
        <v>45273</v>
      </c>
      <c r="C251" s="190" t="s">
        <v>773</v>
      </c>
      <c r="D251" s="194">
        <v>59.11</v>
      </c>
      <c r="E251">
        <v>29</v>
      </c>
      <c r="L251" s="192">
        <v>45273</v>
      </c>
      <c r="N251" s="108">
        <v>45280</v>
      </c>
      <c r="O251" s="108">
        <v>45280</v>
      </c>
      <c r="P251" s="10">
        <f>+L251-N251</f>
        <v>-7</v>
      </c>
      <c r="Q251" s="10">
        <f>+N251-O251</f>
        <v>0</v>
      </c>
      <c r="R251" s="10">
        <f>+L251-O251</f>
        <v>-7</v>
      </c>
      <c r="S251" s="10">
        <f>+R251-30</f>
        <v>-37</v>
      </c>
    </row>
    <row r="252" spans="1:19" ht="15" x14ac:dyDescent="0.25">
      <c r="A252" s="190" t="s">
        <v>443</v>
      </c>
      <c r="B252" s="192">
        <v>45273</v>
      </c>
      <c r="C252" s="190" t="s">
        <v>774</v>
      </c>
      <c r="D252" s="194">
        <v>341.98</v>
      </c>
      <c r="E252">
        <v>29</v>
      </c>
      <c r="L252" s="192">
        <v>45273</v>
      </c>
      <c r="N252" s="108">
        <v>45280</v>
      </c>
      <c r="O252" s="108">
        <v>45280</v>
      </c>
      <c r="P252" s="10">
        <f>+L252-N252</f>
        <v>-7</v>
      </c>
      <c r="Q252" s="10">
        <f>+N252-O252</f>
        <v>0</v>
      </c>
      <c r="R252" s="10">
        <f>+L252-O252</f>
        <v>-7</v>
      </c>
      <c r="S252" s="10">
        <f>+R252-30</f>
        <v>-37</v>
      </c>
    </row>
    <row r="253" spans="1:19" ht="15" x14ac:dyDescent="0.25">
      <c r="A253" s="190" t="s">
        <v>138</v>
      </c>
      <c r="B253" s="192">
        <v>45215</v>
      </c>
      <c r="C253" s="190" t="s">
        <v>473</v>
      </c>
      <c r="D253" s="194">
        <v>128619.72</v>
      </c>
      <c r="E253">
        <v>69</v>
      </c>
      <c r="L253" s="192">
        <v>45215</v>
      </c>
      <c r="N253" s="108">
        <v>45229</v>
      </c>
      <c r="O253" s="108">
        <v>45229</v>
      </c>
      <c r="P253" s="10">
        <f>+L253-N253</f>
        <v>-14</v>
      </c>
      <c r="Q253" s="10">
        <f>+N253-O253</f>
        <v>0</v>
      </c>
      <c r="R253" s="10">
        <f>+L253-O253</f>
        <v>-14</v>
      </c>
      <c r="S253" s="10">
        <f>+R253-30</f>
        <v>-44</v>
      </c>
    </row>
    <row r="254" spans="1:19" ht="15" x14ac:dyDescent="0.25">
      <c r="A254" s="190" t="s">
        <v>156</v>
      </c>
      <c r="B254" s="192">
        <v>45223</v>
      </c>
      <c r="C254" s="190" t="s">
        <v>491</v>
      </c>
      <c r="D254" s="194">
        <v>6050</v>
      </c>
      <c r="E254">
        <v>69</v>
      </c>
      <c r="L254" s="192">
        <v>45223</v>
      </c>
      <c r="N254" s="108">
        <v>45229</v>
      </c>
      <c r="O254" s="108">
        <v>45229</v>
      </c>
      <c r="P254" s="10">
        <f>+L254-N254</f>
        <v>-6</v>
      </c>
      <c r="Q254" s="10">
        <f>+N254-O254</f>
        <v>0</v>
      </c>
      <c r="R254" s="10">
        <f>+L254-O254</f>
        <v>-6</v>
      </c>
      <c r="S254" s="10">
        <f>+R254-30</f>
        <v>-36</v>
      </c>
    </row>
    <row r="255" spans="1:19" ht="15" x14ac:dyDescent="0.25">
      <c r="A255" s="190" t="s">
        <v>157</v>
      </c>
      <c r="B255" s="192">
        <v>45223</v>
      </c>
      <c r="C255" s="190" t="s">
        <v>492</v>
      </c>
      <c r="D255" s="194">
        <v>5305.85</v>
      </c>
      <c r="E255">
        <v>69</v>
      </c>
      <c r="L255" s="192">
        <v>45223</v>
      </c>
      <c r="N255" s="108">
        <v>45229</v>
      </c>
      <c r="O255" s="108">
        <v>45229</v>
      </c>
      <c r="P255" s="10">
        <f>+L255-N255</f>
        <v>-6</v>
      </c>
      <c r="Q255" s="10">
        <f>+N255-O255</f>
        <v>0</v>
      </c>
      <c r="R255" s="10">
        <f>+L255-O255</f>
        <v>-6</v>
      </c>
      <c r="S255" s="10">
        <f>+R255-30</f>
        <v>-36</v>
      </c>
    </row>
    <row r="256" spans="1:19" ht="15" x14ac:dyDescent="0.25">
      <c r="A256" s="190" t="s">
        <v>158</v>
      </c>
      <c r="B256" s="192">
        <v>45223</v>
      </c>
      <c r="C256" s="190" t="s">
        <v>493</v>
      </c>
      <c r="D256" s="194">
        <v>12711.05</v>
      </c>
      <c r="E256">
        <v>69</v>
      </c>
      <c r="L256" s="192">
        <v>45223</v>
      </c>
      <c r="N256" s="108">
        <v>45229</v>
      </c>
      <c r="O256" s="108">
        <v>45229</v>
      </c>
      <c r="P256" s="10">
        <f>+L256-N256</f>
        <v>-6</v>
      </c>
      <c r="Q256" s="10">
        <f>+N256-O256</f>
        <v>0</v>
      </c>
      <c r="R256" s="10">
        <f>+L256-O256</f>
        <v>-6</v>
      </c>
      <c r="S256" s="10">
        <f>+R256-30</f>
        <v>-36</v>
      </c>
    </row>
    <row r="257" spans="1:19" ht="15" x14ac:dyDescent="0.25">
      <c r="A257" s="190" t="s">
        <v>173</v>
      </c>
      <c r="B257" s="192">
        <v>45217</v>
      </c>
      <c r="C257" s="190" t="s">
        <v>508</v>
      </c>
      <c r="D257" s="194">
        <v>752.75</v>
      </c>
      <c r="E257">
        <v>69</v>
      </c>
      <c r="L257" s="192">
        <v>45217</v>
      </c>
      <c r="N257" s="108">
        <v>45231</v>
      </c>
      <c r="O257" s="108">
        <v>45231</v>
      </c>
      <c r="P257" s="10">
        <f>+L257-N257</f>
        <v>-14</v>
      </c>
      <c r="Q257" s="10">
        <f>+N257-O257</f>
        <v>0</v>
      </c>
      <c r="R257" s="10">
        <f>+L257-O257</f>
        <v>-14</v>
      </c>
      <c r="S257" s="10">
        <f>+R257-30</f>
        <v>-44</v>
      </c>
    </row>
    <row r="258" spans="1:19" ht="15" x14ac:dyDescent="0.25">
      <c r="A258" s="190" t="s">
        <v>234</v>
      </c>
      <c r="B258" s="192">
        <v>45243</v>
      </c>
      <c r="C258" s="190" t="s">
        <v>568</v>
      </c>
      <c r="D258" s="194">
        <v>139422.51999999999</v>
      </c>
      <c r="E258">
        <v>69</v>
      </c>
      <c r="L258" s="192">
        <v>45243</v>
      </c>
      <c r="N258" s="108">
        <v>45259</v>
      </c>
      <c r="O258" s="108">
        <v>45259</v>
      </c>
      <c r="P258" s="10">
        <f>+L258-N258</f>
        <v>-16</v>
      </c>
      <c r="Q258" s="10">
        <f>+N258-O258</f>
        <v>0</v>
      </c>
      <c r="R258" s="10">
        <f>+L258-O258</f>
        <v>-16</v>
      </c>
      <c r="S258" s="10">
        <f>+R258-30</f>
        <v>-46</v>
      </c>
    </row>
    <row r="259" spans="1:19" ht="15" x14ac:dyDescent="0.25">
      <c r="A259" s="190" t="s">
        <v>240</v>
      </c>
      <c r="B259" s="192">
        <v>45240</v>
      </c>
      <c r="C259" s="190" t="s">
        <v>573</v>
      </c>
      <c r="D259" s="194">
        <v>10193.09</v>
      </c>
      <c r="E259">
        <v>69</v>
      </c>
      <c r="L259" s="192">
        <v>45240</v>
      </c>
      <c r="N259" s="108">
        <v>45243</v>
      </c>
      <c r="O259" s="108">
        <v>45243</v>
      </c>
      <c r="P259" s="10">
        <f>+L259-N259</f>
        <v>-3</v>
      </c>
      <c r="Q259" s="10">
        <f>+N259-O259</f>
        <v>0</v>
      </c>
      <c r="R259" s="10">
        <f>+L259-O259</f>
        <v>-3</v>
      </c>
      <c r="S259" s="10">
        <f>+R259-30</f>
        <v>-33</v>
      </c>
    </row>
    <row r="260" spans="1:19" ht="15" x14ac:dyDescent="0.25">
      <c r="A260" s="190" t="s">
        <v>247</v>
      </c>
      <c r="B260" s="192">
        <v>45226</v>
      </c>
      <c r="C260" s="190" t="s">
        <v>580</v>
      </c>
      <c r="D260" s="194">
        <v>993.97</v>
      </c>
      <c r="E260">
        <v>69</v>
      </c>
      <c r="L260" s="192">
        <v>45226</v>
      </c>
      <c r="N260" s="108">
        <v>45231</v>
      </c>
      <c r="O260" s="108">
        <v>45231</v>
      </c>
      <c r="P260" s="10">
        <f>+L260-N260</f>
        <v>-5</v>
      </c>
      <c r="Q260" s="10">
        <f>+N260-O260</f>
        <v>0</v>
      </c>
      <c r="R260" s="10">
        <f>+L260-O260</f>
        <v>-5</v>
      </c>
      <c r="S260" s="10">
        <f>+R260-30</f>
        <v>-35</v>
      </c>
    </row>
    <row r="261" spans="1:19" ht="15" x14ac:dyDescent="0.25">
      <c r="A261" s="190" t="s">
        <v>252</v>
      </c>
      <c r="B261" s="192">
        <v>45243</v>
      </c>
      <c r="C261" s="190" t="s">
        <v>585</v>
      </c>
      <c r="D261" s="194">
        <v>5701.68</v>
      </c>
      <c r="E261">
        <v>69</v>
      </c>
      <c r="L261" s="192">
        <v>45242</v>
      </c>
      <c r="N261" s="108">
        <v>45259</v>
      </c>
      <c r="O261" s="108">
        <v>45259</v>
      </c>
      <c r="P261" s="10">
        <f>+L261-N261</f>
        <v>-17</v>
      </c>
      <c r="Q261" s="10">
        <f>+N261-O261</f>
        <v>0</v>
      </c>
      <c r="R261" s="10">
        <f>+L261-O261</f>
        <v>-17</v>
      </c>
      <c r="S261" s="10">
        <f>+R261-30</f>
        <v>-47</v>
      </c>
    </row>
    <row r="262" spans="1:19" ht="15" x14ac:dyDescent="0.25">
      <c r="A262" s="190" t="s">
        <v>313</v>
      </c>
      <c r="B262" s="192">
        <v>45271</v>
      </c>
      <c r="C262" s="190" t="s">
        <v>646</v>
      </c>
      <c r="D262" s="194">
        <v>992.2</v>
      </c>
      <c r="E262">
        <v>69</v>
      </c>
      <c r="L262" s="192">
        <v>45271</v>
      </c>
      <c r="N262" s="108">
        <v>45288</v>
      </c>
      <c r="O262" s="108">
        <v>45288</v>
      </c>
      <c r="P262" s="10">
        <f>+L262-N262</f>
        <v>-17</v>
      </c>
      <c r="Q262" s="10">
        <f>+N262-O262</f>
        <v>0</v>
      </c>
      <c r="R262" s="10">
        <f>+L262-O262</f>
        <v>-17</v>
      </c>
      <c r="S262" s="10">
        <f>+R262-30</f>
        <v>-47</v>
      </c>
    </row>
    <row r="263" spans="1:19" ht="15" x14ac:dyDescent="0.25">
      <c r="A263" s="190" t="s">
        <v>314</v>
      </c>
      <c r="B263" s="192">
        <v>45261</v>
      </c>
      <c r="C263" s="190" t="s">
        <v>647</v>
      </c>
      <c r="D263" s="194">
        <v>213563.8</v>
      </c>
      <c r="E263">
        <v>69</v>
      </c>
      <c r="L263" s="192">
        <v>45261</v>
      </c>
      <c r="N263" s="108">
        <v>45275</v>
      </c>
      <c r="O263" s="108">
        <v>45275</v>
      </c>
      <c r="P263" s="10">
        <f>+L263-N263</f>
        <v>-14</v>
      </c>
      <c r="Q263" s="10">
        <f>+N263-O263</f>
        <v>0</v>
      </c>
      <c r="R263" s="10">
        <f>+L263-O263</f>
        <v>-14</v>
      </c>
      <c r="S263" s="10">
        <f>+R263-30</f>
        <v>-44</v>
      </c>
    </row>
    <row r="264" spans="1:19" ht="15" x14ac:dyDescent="0.25">
      <c r="A264" s="190" t="s">
        <v>340</v>
      </c>
      <c r="B264" s="192">
        <v>45274</v>
      </c>
      <c r="C264" s="190" t="s">
        <v>673</v>
      </c>
      <c r="D264" s="194">
        <v>16988.48</v>
      </c>
      <c r="E264">
        <v>69</v>
      </c>
      <c r="L264" s="192">
        <v>45274</v>
      </c>
      <c r="N264" s="108">
        <v>45275</v>
      </c>
      <c r="O264" s="108">
        <v>45275</v>
      </c>
      <c r="P264" s="10">
        <f>+L264-N264</f>
        <v>-1</v>
      </c>
      <c r="Q264" s="10">
        <f>+N264-O264</f>
        <v>0</v>
      </c>
      <c r="R264" s="10">
        <f>+L264-O264</f>
        <v>-1</v>
      </c>
      <c r="S264" s="10">
        <f>+R264-30</f>
        <v>-31</v>
      </c>
    </row>
    <row r="265" spans="1:19" ht="15" x14ac:dyDescent="0.25">
      <c r="A265" s="190" t="s">
        <v>370</v>
      </c>
      <c r="B265" s="192">
        <v>45245</v>
      </c>
      <c r="C265" s="190" t="s">
        <v>703</v>
      </c>
      <c r="D265" s="194">
        <v>17538.95</v>
      </c>
      <c r="E265">
        <v>69</v>
      </c>
      <c r="L265" s="192">
        <v>45245</v>
      </c>
      <c r="N265" s="108">
        <v>45288</v>
      </c>
      <c r="O265" s="108">
        <v>45288</v>
      </c>
      <c r="P265" s="10">
        <f>+L265-N265</f>
        <v>-43</v>
      </c>
      <c r="Q265" s="10">
        <f>+N265-O265</f>
        <v>0</v>
      </c>
      <c r="R265" s="10">
        <f>+L265-O265</f>
        <v>-43</v>
      </c>
      <c r="S265" s="10">
        <f>+R265-30</f>
        <v>-73</v>
      </c>
    </row>
    <row r="266" spans="1:19" ht="15" x14ac:dyDescent="0.25">
      <c r="A266" s="190" t="s">
        <v>371</v>
      </c>
      <c r="B266" s="192">
        <v>45281</v>
      </c>
      <c r="C266" s="190" t="s">
        <v>704</v>
      </c>
      <c r="D266" s="194">
        <v>75561.52</v>
      </c>
      <c r="E266">
        <v>69</v>
      </c>
      <c r="L266" s="192">
        <v>45281</v>
      </c>
      <c r="N266" s="108">
        <v>45288</v>
      </c>
      <c r="O266" s="108">
        <v>45288</v>
      </c>
      <c r="P266" s="10">
        <f>+L266-N266</f>
        <v>-7</v>
      </c>
      <c r="Q266" s="10">
        <f>+N266-O266</f>
        <v>0</v>
      </c>
      <c r="R266" s="10">
        <f>+L266-O266</f>
        <v>-7</v>
      </c>
      <c r="S266" s="10">
        <f>+R266-30</f>
        <v>-37</v>
      </c>
    </row>
    <row r="267" spans="1:19" ht="15" x14ac:dyDescent="0.25">
      <c r="A267" s="190" t="s">
        <v>391</v>
      </c>
      <c r="B267" s="192">
        <v>45286</v>
      </c>
      <c r="C267" s="190" t="s">
        <v>722</v>
      </c>
      <c r="D267" s="194">
        <v>8552.51</v>
      </c>
      <c r="E267">
        <v>69</v>
      </c>
      <c r="L267" s="192">
        <v>45286</v>
      </c>
      <c r="N267" s="108">
        <v>45288</v>
      </c>
      <c r="O267" s="108">
        <v>45288</v>
      </c>
      <c r="P267" s="10">
        <f>+L267-N267</f>
        <v>-2</v>
      </c>
      <c r="Q267" s="10">
        <f>+N267-O267</f>
        <v>0</v>
      </c>
      <c r="R267" s="10">
        <f>+L267-O267</f>
        <v>-2</v>
      </c>
      <c r="S267" s="10">
        <f>+R267-30</f>
        <v>-32</v>
      </c>
    </row>
    <row r="268" spans="1:19" ht="15" x14ac:dyDescent="0.25">
      <c r="A268" s="190" t="s">
        <v>392</v>
      </c>
      <c r="B268" s="192">
        <v>45286</v>
      </c>
      <c r="C268" s="190" t="s">
        <v>723</v>
      </c>
      <c r="D268" s="194">
        <v>6795.38</v>
      </c>
      <c r="E268">
        <v>69</v>
      </c>
      <c r="L268" s="192">
        <v>45286</v>
      </c>
      <c r="N268" s="108">
        <v>45288</v>
      </c>
      <c r="O268" s="108">
        <v>45288</v>
      </c>
      <c r="P268" s="10">
        <f>+L268-N268</f>
        <v>-2</v>
      </c>
      <c r="Q268" s="10">
        <f>+N268-O268</f>
        <v>0</v>
      </c>
      <c r="R268" s="10">
        <f>+L268-O268</f>
        <v>-2</v>
      </c>
      <c r="S268" s="10">
        <f>+R268-30</f>
        <v>-32</v>
      </c>
    </row>
    <row r="269" spans="1:19" ht="15" x14ac:dyDescent="0.25">
      <c r="A269" s="190" t="s">
        <v>393</v>
      </c>
      <c r="B269" s="192">
        <v>45287</v>
      </c>
      <c r="C269" s="190" t="s">
        <v>724</v>
      </c>
      <c r="D269" s="194">
        <v>15187.91</v>
      </c>
      <c r="E269">
        <v>69</v>
      </c>
      <c r="L269" s="192">
        <v>45287</v>
      </c>
      <c r="N269" s="108">
        <v>45288</v>
      </c>
      <c r="O269" s="108">
        <v>45288</v>
      </c>
      <c r="P269" s="10">
        <f>+L269-N269</f>
        <v>-1</v>
      </c>
      <c r="Q269" s="10">
        <f>+N269-O269</f>
        <v>0</v>
      </c>
      <c r="R269" s="10">
        <f>+L269-O269</f>
        <v>-1</v>
      </c>
      <c r="S269" s="10">
        <f>+R269-30</f>
        <v>-31</v>
      </c>
    </row>
    <row r="270" spans="1:19" ht="15" x14ac:dyDescent="0.25">
      <c r="A270" s="190" t="s">
        <v>394</v>
      </c>
      <c r="B270" s="192">
        <v>45282</v>
      </c>
      <c r="C270" s="190" t="s">
        <v>725</v>
      </c>
      <c r="D270" s="194">
        <v>8839.33</v>
      </c>
      <c r="E270">
        <v>69</v>
      </c>
      <c r="L270" s="192">
        <v>45282</v>
      </c>
      <c r="N270" s="108">
        <v>45288</v>
      </c>
      <c r="O270" s="108">
        <v>45288</v>
      </c>
      <c r="P270" s="10">
        <f>+L270-N270</f>
        <v>-6</v>
      </c>
      <c r="Q270" s="10">
        <f>+N270-O270</f>
        <v>0</v>
      </c>
      <c r="R270" s="10">
        <f>+L270-O270</f>
        <v>-6</v>
      </c>
      <c r="S270" s="10">
        <f>+R270-30</f>
        <v>-36</v>
      </c>
    </row>
    <row r="271" spans="1:19" ht="15" x14ac:dyDescent="0.25">
      <c r="A271" s="190" t="s">
        <v>396</v>
      </c>
      <c r="B271" s="192">
        <v>45288</v>
      </c>
      <c r="C271" s="190" t="s">
        <v>727</v>
      </c>
      <c r="D271" s="194">
        <v>18062.12</v>
      </c>
      <c r="E271">
        <v>69</v>
      </c>
      <c r="L271" s="192">
        <v>45288</v>
      </c>
      <c r="N271" s="108">
        <v>45288</v>
      </c>
      <c r="O271" s="108">
        <v>45288</v>
      </c>
      <c r="P271" s="10">
        <f>+L271-N271</f>
        <v>0</v>
      </c>
      <c r="Q271" s="10">
        <f>+N271-O271</f>
        <v>0</v>
      </c>
      <c r="R271" s="10">
        <f>+L271-O271</f>
        <v>0</v>
      </c>
      <c r="S271" s="10">
        <f>+R271-30</f>
        <v>-30</v>
      </c>
    </row>
    <row r="272" spans="1:19" ht="15" x14ac:dyDescent="0.25">
      <c r="A272" s="190" t="s">
        <v>397</v>
      </c>
      <c r="B272" s="192">
        <v>45281</v>
      </c>
      <c r="C272" s="190" t="s">
        <v>728</v>
      </c>
      <c r="D272" s="194">
        <v>16768.18</v>
      </c>
      <c r="E272">
        <v>69</v>
      </c>
      <c r="L272" s="192">
        <v>45281</v>
      </c>
      <c r="N272" s="108">
        <v>45288</v>
      </c>
      <c r="O272" s="108">
        <v>45288</v>
      </c>
      <c r="P272" s="10">
        <f>+L272-N272</f>
        <v>-7</v>
      </c>
      <c r="Q272" s="10">
        <f>+N272-O272</f>
        <v>0</v>
      </c>
      <c r="R272" s="10">
        <f>+L272-O272</f>
        <v>-7</v>
      </c>
      <c r="S272" s="10">
        <f>+R272-30</f>
        <v>-37</v>
      </c>
    </row>
    <row r="273" spans="1:19" ht="15" x14ac:dyDescent="0.25">
      <c r="A273" s="190" t="s">
        <v>398</v>
      </c>
      <c r="B273" s="192">
        <v>45282</v>
      </c>
      <c r="C273" s="190" t="s">
        <v>729</v>
      </c>
      <c r="D273" s="194">
        <v>4820.08</v>
      </c>
      <c r="E273">
        <v>69</v>
      </c>
      <c r="L273" s="192">
        <v>45282</v>
      </c>
      <c r="N273" s="108">
        <v>45288</v>
      </c>
      <c r="O273" s="108">
        <v>45288</v>
      </c>
      <c r="P273" s="10">
        <f>+L273-N273</f>
        <v>-6</v>
      </c>
      <c r="Q273" s="10">
        <f>+N273-O273</f>
        <v>0</v>
      </c>
      <c r="R273" s="10">
        <f>+L273-O273</f>
        <v>-6</v>
      </c>
      <c r="S273" s="10">
        <f>+R273-30</f>
        <v>-36</v>
      </c>
    </row>
    <row r="274" spans="1:19" ht="15" x14ac:dyDescent="0.25">
      <c r="A274" s="190" t="s">
        <v>399</v>
      </c>
      <c r="B274" s="192">
        <v>45282</v>
      </c>
      <c r="C274" s="190" t="s">
        <v>730</v>
      </c>
      <c r="D274" s="196">
        <v>10879.53</v>
      </c>
      <c r="E274">
        <v>69</v>
      </c>
      <c r="L274" s="192">
        <v>45282</v>
      </c>
      <c r="N274" s="108">
        <v>45288</v>
      </c>
      <c r="O274" s="108">
        <v>45288</v>
      </c>
      <c r="P274" s="10">
        <f>+L274-N274</f>
        <v>-6</v>
      </c>
      <c r="Q274" s="10">
        <f>+N274-O274</f>
        <v>0</v>
      </c>
      <c r="R274" s="10">
        <f>+L274-O274</f>
        <v>-6</v>
      </c>
      <c r="S274" s="10">
        <f>+R274-30</f>
        <v>-36</v>
      </c>
    </row>
    <row r="275" spans="1:19" x14ac:dyDescent="0.2">
      <c r="D275" s="8">
        <f>SUM(D6:D274)</f>
        <v>949600.0299999998</v>
      </c>
    </row>
    <row r="280" spans="1:19" x14ac:dyDescent="0.2">
      <c r="D280" s="8">
        <f>SUM(D6:D22)</f>
        <v>17302.759999999998</v>
      </c>
      <c r="E280" s="2">
        <v>20</v>
      </c>
      <c r="F280" s="2">
        <v>17</v>
      </c>
    </row>
    <row r="281" spans="1:19" x14ac:dyDescent="0.2">
      <c r="D281" s="8">
        <f>SUM(D23:D50)</f>
        <v>10066.07</v>
      </c>
      <c r="E281" s="2">
        <v>21</v>
      </c>
      <c r="F281" s="2">
        <v>28</v>
      </c>
    </row>
    <row r="282" spans="1:19" x14ac:dyDescent="0.2">
      <c r="D282" s="8">
        <f>SUM(D51:D83)</f>
        <v>36214.969999999994</v>
      </c>
      <c r="E282" s="2">
        <v>22</v>
      </c>
      <c r="F282" s="2">
        <v>32</v>
      </c>
    </row>
    <row r="283" spans="1:19" x14ac:dyDescent="0.2">
      <c r="D283" s="8">
        <f>SUM(D84:D252)</f>
        <v>161715.61000000004</v>
      </c>
      <c r="E283" s="2">
        <v>29</v>
      </c>
      <c r="F283" s="2">
        <v>169</v>
      </c>
    </row>
    <row r="284" spans="1:19" x14ac:dyDescent="0.2">
      <c r="D284" s="111">
        <f>SUM(D253:D274)</f>
        <v>724300.62</v>
      </c>
      <c r="E284" s="2">
        <v>69</v>
      </c>
      <c r="F284" s="112">
        <v>22</v>
      </c>
    </row>
    <row r="285" spans="1:19" x14ac:dyDescent="0.2">
      <c r="D285" s="8">
        <f>SUM(D280:D284)</f>
        <v>949600.03</v>
      </c>
      <c r="F285" s="2">
        <f>SUM(F280:F284)</f>
        <v>268</v>
      </c>
    </row>
  </sheetData>
  <sheetProtection selectLockedCells="1" selectUnlockedCells="1"/>
  <mergeCells count="1">
    <mergeCell ref="N2:O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scale="76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Orria3">
    <tabColor indexed="41"/>
  </sheetPr>
  <dimension ref="A1:V84"/>
  <sheetViews>
    <sheetView topLeftCell="A51" zoomScaleNormal="100" workbookViewId="0">
      <selection activeCell="A9" sqref="A9:XFD88"/>
    </sheetView>
  </sheetViews>
  <sheetFormatPr defaultRowHeight="11.25" x14ac:dyDescent="0.2"/>
  <cols>
    <col min="1" max="1" width="12.140625" style="2" customWidth="1"/>
    <col min="2" max="2" width="10.7109375" style="15" bestFit="1" customWidth="1"/>
    <col min="3" max="3" width="17.42578125" style="2" customWidth="1"/>
    <col min="4" max="4" width="11.140625" style="8" customWidth="1"/>
    <col min="5" max="5" width="7.42578125" style="2" bestFit="1" customWidth="1"/>
    <col min="6" max="7" width="9.140625" style="2"/>
    <col min="8" max="8" width="7.42578125" style="2" customWidth="1"/>
    <col min="9" max="9" width="7" style="2" customWidth="1"/>
    <col min="10" max="10" width="3.5703125" style="2" customWidth="1"/>
    <col min="11" max="11" width="15.42578125" style="15" bestFit="1" customWidth="1"/>
    <col min="12" max="12" width="11.28515625" style="15" customWidth="1"/>
    <col min="13" max="13" width="19.5703125" style="15" customWidth="1"/>
    <col min="14" max="14" width="12.42578125" style="15" customWidth="1"/>
    <col min="15" max="15" width="11.140625" style="10" customWidth="1"/>
    <col min="16" max="16" width="9.28515625" style="10" bestFit="1" customWidth="1"/>
    <col min="17" max="17" width="10" style="10" bestFit="1" customWidth="1"/>
    <col min="18" max="18" width="8.7109375" style="10" bestFit="1" customWidth="1"/>
    <col min="19" max="19" width="8.140625" style="2" customWidth="1"/>
    <col min="20" max="21" width="14.5703125" style="8" bestFit="1" customWidth="1"/>
    <col min="22" max="16384" width="9.140625" style="2"/>
  </cols>
  <sheetData>
    <row r="1" spans="1:22" x14ac:dyDescent="0.2">
      <c r="A1" s="3" t="s">
        <v>80</v>
      </c>
      <c r="B1" s="17"/>
      <c r="C1" s="4"/>
      <c r="D1" s="7"/>
      <c r="E1" s="4"/>
      <c r="F1" s="4"/>
      <c r="G1" s="4"/>
      <c r="H1" s="4"/>
      <c r="I1" s="4"/>
      <c r="J1" s="4"/>
      <c r="Q1" s="15"/>
    </row>
    <row r="2" spans="1:22" x14ac:dyDescent="0.2">
      <c r="A2" s="3"/>
      <c r="B2" s="17"/>
      <c r="C2" s="4"/>
      <c r="D2" s="7"/>
      <c r="E2" s="4"/>
      <c r="F2" s="4"/>
      <c r="G2" s="4"/>
      <c r="H2" s="4"/>
      <c r="I2" s="4"/>
      <c r="J2" s="4"/>
      <c r="K2" s="15" t="s">
        <v>101</v>
      </c>
      <c r="P2" s="10" t="s">
        <v>108</v>
      </c>
      <c r="Q2" s="107">
        <v>45291</v>
      </c>
    </row>
    <row r="3" spans="1:22" x14ac:dyDescent="0.2">
      <c r="A3" s="3"/>
      <c r="B3" s="17"/>
      <c r="C3" s="4"/>
      <c r="D3" s="7"/>
      <c r="E3" s="4"/>
      <c r="F3" s="4"/>
      <c r="G3" s="4"/>
      <c r="H3" s="4"/>
      <c r="I3" s="4"/>
      <c r="J3" s="4"/>
      <c r="K3" s="15" t="s">
        <v>103</v>
      </c>
      <c r="M3" s="15" t="s">
        <v>99</v>
      </c>
    </row>
    <row r="4" spans="1:22" x14ac:dyDescent="0.2">
      <c r="A4" s="3"/>
      <c r="B4" s="17"/>
      <c r="C4" s="4"/>
      <c r="D4" s="7"/>
      <c r="E4" s="4"/>
      <c r="F4" s="4"/>
      <c r="G4" s="4"/>
      <c r="H4" s="4"/>
      <c r="I4" s="4"/>
      <c r="J4" s="4"/>
      <c r="M4" s="15" t="s">
        <v>104</v>
      </c>
    </row>
    <row r="5" spans="1:22" x14ac:dyDescent="0.2">
      <c r="A5" s="3"/>
      <c r="B5" s="17"/>
      <c r="C5" s="4"/>
      <c r="D5" s="7"/>
      <c r="E5" s="4"/>
      <c r="F5" s="4"/>
      <c r="G5" s="4"/>
      <c r="H5" s="4"/>
      <c r="I5" s="4"/>
      <c r="J5" s="4"/>
      <c r="M5" s="15" t="s">
        <v>105</v>
      </c>
    </row>
    <row r="6" spans="1:22" x14ac:dyDescent="0.2">
      <c r="A6" s="3"/>
      <c r="B6" s="17"/>
      <c r="C6" s="4"/>
      <c r="D6" s="7"/>
      <c r="E6" s="4"/>
      <c r="F6" s="4"/>
      <c r="G6" s="4"/>
      <c r="H6" s="4"/>
      <c r="I6" s="4"/>
      <c r="J6" s="4"/>
      <c r="M6" s="15" t="s">
        <v>106</v>
      </c>
    </row>
    <row r="8" spans="1:22" ht="38.25" customHeight="1" x14ac:dyDescent="0.2">
      <c r="A8" s="5" t="s">
        <v>75</v>
      </c>
      <c r="B8" s="18" t="s">
        <v>70</v>
      </c>
      <c r="C8" s="6" t="s">
        <v>85</v>
      </c>
      <c r="D8" s="9" t="s">
        <v>44</v>
      </c>
      <c r="E8" s="5" t="s">
        <v>84</v>
      </c>
      <c r="F8" s="6" t="s">
        <v>71</v>
      </c>
      <c r="G8" s="6" t="s">
        <v>72</v>
      </c>
      <c r="H8" s="6" t="s">
        <v>82</v>
      </c>
      <c r="I8" s="6" t="s">
        <v>83</v>
      </c>
      <c r="J8" s="6" t="s">
        <v>73</v>
      </c>
      <c r="K8" s="16" t="s">
        <v>74</v>
      </c>
      <c r="L8" s="16" t="s">
        <v>76</v>
      </c>
      <c r="M8" s="16" t="s">
        <v>91</v>
      </c>
      <c r="N8" s="16" t="s">
        <v>92</v>
      </c>
      <c r="O8" s="11" t="s">
        <v>77</v>
      </c>
      <c r="P8" s="12" t="s">
        <v>86</v>
      </c>
      <c r="Q8" s="13" t="s">
        <v>87</v>
      </c>
      <c r="R8" s="14" t="s">
        <v>50</v>
      </c>
      <c r="S8" s="2" t="s">
        <v>93</v>
      </c>
      <c r="T8" s="8" t="s">
        <v>94</v>
      </c>
      <c r="U8" s="8" t="s">
        <v>95</v>
      </c>
      <c r="V8" s="2" t="s">
        <v>96</v>
      </c>
    </row>
    <row r="9" spans="1:22" ht="15" x14ac:dyDescent="0.25">
      <c r="A9" s="191" t="s">
        <v>386</v>
      </c>
      <c r="B9" s="193">
        <v>45291</v>
      </c>
      <c r="C9" s="191" t="s">
        <v>718</v>
      </c>
      <c r="D9" s="195">
        <v>1471.24</v>
      </c>
      <c r="K9" s="2"/>
      <c r="L9" s="193">
        <v>45291</v>
      </c>
      <c r="M9" s="113">
        <v>45306</v>
      </c>
      <c r="N9" s="113">
        <v>45306</v>
      </c>
      <c r="O9" s="2"/>
      <c r="P9" s="10">
        <f>+M9-$Q$2</f>
        <v>15</v>
      </c>
      <c r="Q9" s="10">
        <f>+L9-$Q$2</f>
        <v>0</v>
      </c>
      <c r="S9" s="114">
        <v>20</v>
      </c>
    </row>
    <row r="10" spans="1:22" ht="15" x14ac:dyDescent="0.25">
      <c r="A10" s="191" t="s">
        <v>407</v>
      </c>
      <c r="B10" s="193">
        <v>45261</v>
      </c>
      <c r="C10" s="191" t="s">
        <v>738</v>
      </c>
      <c r="D10" s="195">
        <v>834.15</v>
      </c>
      <c r="K10" s="2"/>
      <c r="L10" s="193">
        <v>45261</v>
      </c>
      <c r="M10" s="113">
        <v>45306</v>
      </c>
      <c r="N10" s="113">
        <v>45306</v>
      </c>
      <c r="O10" s="2"/>
      <c r="P10" s="10">
        <f t="shared" ref="P10:P34" si="0">+M10-$Q$2</f>
        <v>15</v>
      </c>
      <c r="Q10" s="10">
        <f t="shared" ref="Q10:Q34" si="1">+L10-$Q$2</f>
        <v>-30</v>
      </c>
      <c r="S10" s="114">
        <v>20</v>
      </c>
    </row>
    <row r="11" spans="1:22" ht="15" x14ac:dyDescent="0.25">
      <c r="A11" s="191" t="s">
        <v>312</v>
      </c>
      <c r="B11" s="193">
        <v>45261</v>
      </c>
      <c r="C11" s="191" t="s">
        <v>645</v>
      </c>
      <c r="D11" s="195">
        <v>686.07</v>
      </c>
      <c r="K11" s="2"/>
      <c r="L11" s="193">
        <v>45261</v>
      </c>
      <c r="M11" s="113">
        <v>45293</v>
      </c>
      <c r="N11" s="113">
        <v>45293</v>
      </c>
      <c r="O11" s="2"/>
      <c r="P11" s="10">
        <f t="shared" si="0"/>
        <v>2</v>
      </c>
      <c r="Q11" s="10">
        <f t="shared" si="1"/>
        <v>-30</v>
      </c>
      <c r="S11" s="114">
        <v>21</v>
      </c>
    </row>
    <row r="12" spans="1:22" ht="15" x14ac:dyDescent="0.25">
      <c r="A12" s="191" t="s">
        <v>316</v>
      </c>
      <c r="B12" s="193">
        <v>45272</v>
      </c>
      <c r="C12" s="191" t="s">
        <v>649</v>
      </c>
      <c r="D12" s="195">
        <v>2148.96</v>
      </c>
      <c r="K12" s="2"/>
      <c r="L12" s="193">
        <v>45272</v>
      </c>
      <c r="M12" s="113">
        <v>45292</v>
      </c>
      <c r="N12" s="113">
        <v>45292</v>
      </c>
      <c r="O12" s="2"/>
      <c r="P12" s="10">
        <f t="shared" si="0"/>
        <v>1</v>
      </c>
      <c r="Q12" s="10">
        <f t="shared" si="1"/>
        <v>-19</v>
      </c>
      <c r="S12" s="114">
        <v>21</v>
      </c>
    </row>
    <row r="13" spans="1:22" ht="15" x14ac:dyDescent="0.25">
      <c r="A13" s="191" t="s">
        <v>350</v>
      </c>
      <c r="B13" s="193">
        <v>45275</v>
      </c>
      <c r="C13" s="191" t="s">
        <v>683</v>
      </c>
      <c r="D13" s="195">
        <v>659.51</v>
      </c>
      <c r="K13" s="2"/>
      <c r="L13" s="193">
        <v>45275</v>
      </c>
      <c r="M13" s="113">
        <v>45292</v>
      </c>
      <c r="N13" s="113">
        <v>45292</v>
      </c>
      <c r="O13" s="2"/>
      <c r="P13" s="10">
        <f t="shared" si="0"/>
        <v>1</v>
      </c>
      <c r="Q13" s="10">
        <f t="shared" si="1"/>
        <v>-16</v>
      </c>
      <c r="S13" s="114">
        <v>21</v>
      </c>
    </row>
    <row r="14" spans="1:22" ht="15" x14ac:dyDescent="0.25">
      <c r="A14" s="191" t="s">
        <v>408</v>
      </c>
      <c r="B14" s="193">
        <v>45289</v>
      </c>
      <c r="C14" s="191" t="s">
        <v>739</v>
      </c>
      <c r="D14" s="195">
        <v>1336.67</v>
      </c>
      <c r="K14" s="2"/>
      <c r="L14" s="193">
        <v>45289</v>
      </c>
      <c r="M14" s="113">
        <v>45292</v>
      </c>
      <c r="N14" s="113">
        <v>45292</v>
      </c>
      <c r="O14" s="2"/>
      <c r="P14" s="10">
        <f t="shared" si="0"/>
        <v>1</v>
      </c>
      <c r="Q14" s="10">
        <f t="shared" si="1"/>
        <v>-2</v>
      </c>
      <c r="S14" s="114">
        <v>21</v>
      </c>
    </row>
    <row r="15" spans="1:22" ht="15" x14ac:dyDescent="0.25">
      <c r="A15" s="191" t="s">
        <v>279</v>
      </c>
      <c r="B15" s="193">
        <v>45253</v>
      </c>
      <c r="C15" s="191" t="s">
        <v>612</v>
      </c>
      <c r="D15" s="195">
        <v>45.3</v>
      </c>
      <c r="K15" s="2"/>
      <c r="L15" s="193">
        <v>45253</v>
      </c>
      <c r="M15" s="113">
        <v>45292</v>
      </c>
      <c r="N15" s="113">
        <v>45292</v>
      </c>
      <c r="O15" s="2"/>
      <c r="P15" s="10">
        <f t="shared" si="0"/>
        <v>1</v>
      </c>
      <c r="Q15" s="10">
        <f t="shared" si="1"/>
        <v>-38</v>
      </c>
      <c r="S15" s="114">
        <v>22</v>
      </c>
    </row>
    <row r="16" spans="1:22" ht="15" x14ac:dyDescent="0.25">
      <c r="A16" s="191" t="s">
        <v>295</v>
      </c>
      <c r="B16" s="193">
        <v>45260</v>
      </c>
      <c r="C16" s="191" t="s">
        <v>628</v>
      </c>
      <c r="D16" s="195">
        <v>122.77</v>
      </c>
      <c r="K16" s="2"/>
      <c r="L16" s="193">
        <v>45260</v>
      </c>
      <c r="M16" s="113">
        <v>45292</v>
      </c>
      <c r="N16" s="113">
        <v>45292</v>
      </c>
      <c r="O16" s="2"/>
      <c r="P16" s="10">
        <f t="shared" si="0"/>
        <v>1</v>
      </c>
      <c r="Q16" s="10">
        <f t="shared" si="1"/>
        <v>-31</v>
      </c>
      <c r="S16" s="114">
        <v>22</v>
      </c>
    </row>
    <row r="17" spans="1:19" ht="15" x14ac:dyDescent="0.25">
      <c r="A17" s="191" t="s">
        <v>385</v>
      </c>
      <c r="B17" s="193">
        <v>45289</v>
      </c>
      <c r="C17" s="191" t="s">
        <v>717</v>
      </c>
      <c r="D17" s="195">
        <v>2117.02</v>
      </c>
      <c r="K17" s="2"/>
      <c r="L17" s="193">
        <v>45289</v>
      </c>
      <c r="M17" s="113">
        <v>45306</v>
      </c>
      <c r="N17" s="113">
        <v>45306</v>
      </c>
      <c r="O17" s="2"/>
      <c r="P17" s="10">
        <f t="shared" si="0"/>
        <v>15</v>
      </c>
      <c r="Q17" s="10">
        <f t="shared" si="1"/>
        <v>-2</v>
      </c>
      <c r="S17" s="114">
        <v>22</v>
      </c>
    </row>
    <row r="18" spans="1:19" ht="15" x14ac:dyDescent="0.25">
      <c r="A18" s="191" t="s">
        <v>410</v>
      </c>
      <c r="B18" s="193">
        <v>45291</v>
      </c>
      <c r="C18" s="191" t="s">
        <v>741</v>
      </c>
      <c r="D18" s="195">
        <v>196.14</v>
      </c>
      <c r="K18" s="2"/>
      <c r="L18" s="193">
        <v>45291</v>
      </c>
      <c r="M18" s="113">
        <v>45292</v>
      </c>
      <c r="N18" s="113">
        <v>45292</v>
      </c>
      <c r="O18" s="2"/>
      <c r="P18" s="10">
        <f t="shared" si="0"/>
        <v>1</v>
      </c>
      <c r="Q18" s="10">
        <f t="shared" si="1"/>
        <v>0</v>
      </c>
      <c r="S18" s="114">
        <v>22</v>
      </c>
    </row>
    <row r="19" spans="1:19" ht="15" x14ac:dyDescent="0.25">
      <c r="A19" s="191" t="s">
        <v>411</v>
      </c>
      <c r="B19" s="193">
        <v>45291</v>
      </c>
      <c r="C19" s="191" t="s">
        <v>742</v>
      </c>
      <c r="D19" s="195">
        <v>117.67</v>
      </c>
      <c r="K19" s="2"/>
      <c r="L19" s="193">
        <v>45291</v>
      </c>
      <c r="M19" s="113">
        <v>45292</v>
      </c>
      <c r="N19" s="113">
        <v>45292</v>
      </c>
      <c r="O19" s="2"/>
      <c r="P19" s="10">
        <f t="shared" si="0"/>
        <v>1</v>
      </c>
      <c r="Q19" s="10">
        <f t="shared" si="1"/>
        <v>0</v>
      </c>
      <c r="S19" s="114">
        <v>22</v>
      </c>
    </row>
    <row r="20" spans="1:19" ht="15" x14ac:dyDescent="0.25">
      <c r="A20" s="191" t="s">
        <v>441</v>
      </c>
      <c r="B20" s="193">
        <v>45289</v>
      </c>
      <c r="C20" s="191" t="s">
        <v>772</v>
      </c>
      <c r="D20" s="195">
        <v>17.8</v>
      </c>
      <c r="K20" s="2"/>
      <c r="L20" s="193">
        <v>45289</v>
      </c>
      <c r="M20" s="113">
        <v>45292</v>
      </c>
      <c r="N20" s="113">
        <v>45292</v>
      </c>
      <c r="O20" s="2"/>
      <c r="P20" s="10">
        <f t="shared" si="0"/>
        <v>1</v>
      </c>
      <c r="Q20" s="10">
        <f t="shared" si="1"/>
        <v>-2</v>
      </c>
      <c r="S20" s="114">
        <v>22</v>
      </c>
    </row>
    <row r="21" spans="1:19" ht="15" x14ac:dyDescent="0.25">
      <c r="A21" s="191" t="s">
        <v>347</v>
      </c>
      <c r="B21" s="193">
        <v>45260</v>
      </c>
      <c r="C21" s="191" t="s">
        <v>680</v>
      </c>
      <c r="D21" s="195">
        <v>15.83</v>
      </c>
      <c r="K21" s="2"/>
      <c r="L21" s="193">
        <v>45260</v>
      </c>
      <c r="M21" s="113">
        <v>45293</v>
      </c>
      <c r="N21" s="113">
        <v>45293</v>
      </c>
      <c r="O21" s="2"/>
      <c r="P21" s="10">
        <f t="shared" si="0"/>
        <v>2</v>
      </c>
      <c r="Q21" s="10">
        <f t="shared" si="1"/>
        <v>-31</v>
      </c>
      <c r="S21" s="114">
        <v>29</v>
      </c>
    </row>
    <row r="22" spans="1:19" ht="15" x14ac:dyDescent="0.25">
      <c r="A22" s="191" t="s">
        <v>377</v>
      </c>
      <c r="B22" s="193">
        <v>45290</v>
      </c>
      <c r="C22" s="191" t="s">
        <v>709</v>
      </c>
      <c r="D22" s="195">
        <v>379.94</v>
      </c>
      <c r="K22" s="2"/>
      <c r="L22" s="193">
        <v>45290</v>
      </c>
      <c r="M22" s="113">
        <v>45293</v>
      </c>
      <c r="N22" s="113">
        <v>45293</v>
      </c>
      <c r="O22" s="2"/>
      <c r="P22" s="10">
        <f t="shared" si="0"/>
        <v>2</v>
      </c>
      <c r="Q22" s="10">
        <f t="shared" si="1"/>
        <v>-1</v>
      </c>
      <c r="S22" s="114">
        <v>29</v>
      </c>
    </row>
    <row r="23" spans="1:19" ht="15" x14ac:dyDescent="0.25">
      <c r="A23" s="191" t="s">
        <v>378</v>
      </c>
      <c r="B23" s="193">
        <v>45290</v>
      </c>
      <c r="C23" s="191" t="s">
        <v>710</v>
      </c>
      <c r="D23" s="195">
        <v>1464.06</v>
      </c>
      <c r="K23" s="2"/>
      <c r="L23" s="193">
        <v>45290</v>
      </c>
      <c r="M23" s="113">
        <v>45293</v>
      </c>
      <c r="N23" s="113">
        <v>45293</v>
      </c>
      <c r="O23" s="2"/>
      <c r="P23" s="10">
        <f t="shared" si="0"/>
        <v>2</v>
      </c>
      <c r="Q23" s="10">
        <f t="shared" si="1"/>
        <v>-1</v>
      </c>
      <c r="S23" s="114">
        <v>29</v>
      </c>
    </row>
    <row r="24" spans="1:19" ht="15" x14ac:dyDescent="0.25">
      <c r="A24" s="191" t="s">
        <v>379</v>
      </c>
      <c r="B24" s="193">
        <v>45290</v>
      </c>
      <c r="C24" s="191" t="s">
        <v>711</v>
      </c>
      <c r="D24" s="195">
        <v>1108.17</v>
      </c>
      <c r="K24" s="2"/>
      <c r="L24" s="193">
        <v>45290</v>
      </c>
      <c r="M24" s="113">
        <v>45293</v>
      </c>
      <c r="N24" s="113">
        <v>45293</v>
      </c>
      <c r="O24" s="2"/>
      <c r="P24" s="10">
        <f t="shared" si="0"/>
        <v>2</v>
      </c>
      <c r="Q24" s="10">
        <f t="shared" si="1"/>
        <v>-1</v>
      </c>
      <c r="S24" s="114">
        <v>29</v>
      </c>
    </row>
    <row r="25" spans="1:19" ht="15" x14ac:dyDescent="0.25">
      <c r="A25" s="191" t="s">
        <v>380</v>
      </c>
      <c r="B25" s="193">
        <v>45288</v>
      </c>
      <c r="C25" s="191" t="s">
        <v>712</v>
      </c>
      <c r="D25" s="195">
        <v>463.73</v>
      </c>
      <c r="K25" s="2"/>
      <c r="L25" s="193">
        <v>45288</v>
      </c>
      <c r="M25" s="113">
        <v>45308</v>
      </c>
      <c r="N25" s="113">
        <v>45308</v>
      </c>
      <c r="O25" s="2"/>
      <c r="P25" s="10">
        <f t="shared" si="0"/>
        <v>17</v>
      </c>
      <c r="Q25" s="10">
        <f t="shared" si="1"/>
        <v>-3</v>
      </c>
      <c r="S25" s="114">
        <v>29</v>
      </c>
    </row>
    <row r="26" spans="1:19" ht="15" x14ac:dyDescent="0.25">
      <c r="A26" s="191" t="s">
        <v>381</v>
      </c>
      <c r="B26" s="193">
        <v>45288</v>
      </c>
      <c r="C26" s="191" t="s">
        <v>713</v>
      </c>
      <c r="D26" s="195">
        <v>670.69</v>
      </c>
      <c r="K26" s="2"/>
      <c r="L26" s="193">
        <v>45288</v>
      </c>
      <c r="M26" s="113">
        <v>45308</v>
      </c>
      <c r="N26" s="113">
        <v>45308</v>
      </c>
      <c r="O26" s="2"/>
      <c r="P26" s="10">
        <f t="shared" si="0"/>
        <v>17</v>
      </c>
      <c r="Q26" s="10">
        <f t="shared" si="1"/>
        <v>-3</v>
      </c>
      <c r="S26" s="114">
        <v>29</v>
      </c>
    </row>
    <row r="27" spans="1:19" ht="15" x14ac:dyDescent="0.25">
      <c r="A27" s="191" t="s">
        <v>382</v>
      </c>
      <c r="B27" s="193">
        <v>45291</v>
      </c>
      <c r="C27" s="191" t="s">
        <v>714</v>
      </c>
      <c r="D27" s="195">
        <v>822.8</v>
      </c>
      <c r="K27" s="2"/>
      <c r="L27" s="193">
        <v>45291</v>
      </c>
      <c r="M27" s="113">
        <v>45306</v>
      </c>
      <c r="N27" s="113">
        <v>45306</v>
      </c>
      <c r="O27" s="2"/>
      <c r="P27" s="10">
        <f t="shared" si="0"/>
        <v>15</v>
      </c>
      <c r="Q27" s="10">
        <f t="shared" si="1"/>
        <v>0</v>
      </c>
      <c r="S27" s="114">
        <v>29</v>
      </c>
    </row>
    <row r="28" spans="1:19" ht="15" x14ac:dyDescent="0.25">
      <c r="A28" s="191" t="s">
        <v>383</v>
      </c>
      <c r="B28" s="193">
        <v>45281</v>
      </c>
      <c r="C28" s="191" t="s">
        <v>715</v>
      </c>
      <c r="D28" s="195">
        <v>4779.5</v>
      </c>
      <c r="K28" s="2"/>
      <c r="L28" s="193">
        <v>45281</v>
      </c>
      <c r="M28" s="113">
        <v>45306</v>
      </c>
      <c r="N28" s="113">
        <v>45306</v>
      </c>
      <c r="O28" s="2"/>
      <c r="P28" s="10">
        <f t="shared" si="0"/>
        <v>15</v>
      </c>
      <c r="Q28" s="10">
        <f t="shared" si="1"/>
        <v>-10</v>
      </c>
      <c r="S28" s="114">
        <v>29</v>
      </c>
    </row>
    <row r="29" spans="1:19" ht="15" x14ac:dyDescent="0.25">
      <c r="A29" s="191" t="s">
        <v>384</v>
      </c>
      <c r="B29" s="193">
        <v>45291</v>
      </c>
      <c r="C29" s="191" t="s">
        <v>716</v>
      </c>
      <c r="D29" s="195">
        <v>159.61000000000001</v>
      </c>
      <c r="K29" s="2"/>
      <c r="L29" s="193">
        <v>45291</v>
      </c>
      <c r="M29" s="113">
        <v>45296</v>
      </c>
      <c r="N29" s="113">
        <v>45296</v>
      </c>
      <c r="O29" s="2"/>
      <c r="P29" s="10">
        <f t="shared" si="0"/>
        <v>5</v>
      </c>
      <c r="Q29" s="10">
        <f t="shared" si="1"/>
        <v>0</v>
      </c>
      <c r="S29" s="114">
        <v>29</v>
      </c>
    </row>
    <row r="30" spans="1:19" ht="15" x14ac:dyDescent="0.25">
      <c r="A30" s="191" t="s">
        <v>388</v>
      </c>
      <c r="B30" s="193">
        <v>45279</v>
      </c>
      <c r="C30" s="191" t="s">
        <v>592</v>
      </c>
      <c r="D30" s="195">
        <v>3581.6</v>
      </c>
      <c r="K30" s="2"/>
      <c r="L30" s="193">
        <v>45279</v>
      </c>
      <c r="M30" s="113">
        <v>45299</v>
      </c>
      <c r="N30" s="113">
        <v>45299</v>
      </c>
      <c r="O30" s="2"/>
      <c r="P30" s="10">
        <f t="shared" si="0"/>
        <v>8</v>
      </c>
      <c r="Q30" s="10">
        <f t="shared" si="1"/>
        <v>-12</v>
      </c>
      <c r="S30" s="114">
        <v>29</v>
      </c>
    </row>
    <row r="31" spans="1:19" ht="15" x14ac:dyDescent="0.25">
      <c r="A31" s="191" t="s">
        <v>389</v>
      </c>
      <c r="B31" s="193">
        <v>45289</v>
      </c>
      <c r="C31" s="191" t="s">
        <v>720</v>
      </c>
      <c r="D31" s="195">
        <v>453.75</v>
      </c>
      <c r="K31" s="2"/>
      <c r="L31" s="193">
        <v>45289</v>
      </c>
      <c r="M31" s="113">
        <v>45299</v>
      </c>
      <c r="N31" s="113">
        <v>45299</v>
      </c>
      <c r="O31" s="2"/>
      <c r="P31" s="10">
        <f t="shared" si="0"/>
        <v>8</v>
      </c>
      <c r="Q31" s="10">
        <f>+L31-$Q$2</f>
        <v>-2</v>
      </c>
      <c r="S31" s="114">
        <v>29</v>
      </c>
    </row>
    <row r="32" spans="1:19" ht="15" x14ac:dyDescent="0.25">
      <c r="A32" s="191" t="s">
        <v>390</v>
      </c>
      <c r="B32" s="193">
        <v>45289</v>
      </c>
      <c r="C32" s="191" t="s">
        <v>721</v>
      </c>
      <c r="D32" s="195">
        <v>453.75</v>
      </c>
      <c r="K32" s="2"/>
      <c r="L32" s="193">
        <v>45289</v>
      </c>
      <c r="M32" s="113">
        <v>45299</v>
      </c>
      <c r="N32" s="113">
        <v>45299</v>
      </c>
      <c r="O32" s="2"/>
      <c r="P32" s="10">
        <f t="shared" si="0"/>
        <v>8</v>
      </c>
      <c r="Q32" s="10">
        <f t="shared" si="1"/>
        <v>-2</v>
      </c>
      <c r="S32" s="114">
        <v>29</v>
      </c>
    </row>
    <row r="33" spans="1:19" ht="15" x14ac:dyDescent="0.25">
      <c r="A33" s="191" t="s">
        <v>405</v>
      </c>
      <c r="B33" s="193">
        <v>45291</v>
      </c>
      <c r="C33" s="191" t="s">
        <v>736</v>
      </c>
      <c r="D33" s="195">
        <v>0.22</v>
      </c>
      <c r="K33" s="2"/>
      <c r="L33" s="193">
        <v>45291</v>
      </c>
      <c r="M33" s="113">
        <v>45296</v>
      </c>
      <c r="N33" s="113">
        <v>45296</v>
      </c>
      <c r="O33" s="2"/>
      <c r="P33" s="10">
        <f t="shared" si="0"/>
        <v>5</v>
      </c>
      <c r="Q33" s="10">
        <f t="shared" si="1"/>
        <v>0</v>
      </c>
      <c r="S33" s="114">
        <v>29</v>
      </c>
    </row>
    <row r="34" spans="1:19" ht="15" x14ac:dyDescent="0.25">
      <c r="A34" s="191" t="s">
        <v>406</v>
      </c>
      <c r="B34" s="193">
        <v>45291</v>
      </c>
      <c r="C34" s="191" t="s">
        <v>737</v>
      </c>
      <c r="D34" s="195">
        <v>18.100000000000001</v>
      </c>
      <c r="K34" s="2"/>
      <c r="L34" s="193">
        <v>45291</v>
      </c>
      <c r="M34" s="113">
        <v>45296</v>
      </c>
      <c r="N34" s="113">
        <v>45296</v>
      </c>
      <c r="O34" s="2"/>
      <c r="P34" s="10">
        <f t="shared" si="0"/>
        <v>5</v>
      </c>
      <c r="Q34" s="10">
        <f t="shared" si="1"/>
        <v>0</v>
      </c>
      <c r="S34" s="114">
        <v>29</v>
      </c>
    </row>
    <row r="35" spans="1:19" ht="15" x14ac:dyDescent="0.25">
      <c r="A35" s="191" t="s">
        <v>409</v>
      </c>
      <c r="B35" s="193">
        <v>45289</v>
      </c>
      <c r="C35" s="191" t="s">
        <v>740</v>
      </c>
      <c r="D35" s="195">
        <v>737.17</v>
      </c>
      <c r="K35" s="2"/>
      <c r="L35" s="193">
        <v>45289</v>
      </c>
      <c r="M35" s="113">
        <v>45292</v>
      </c>
      <c r="N35" s="113">
        <v>45292</v>
      </c>
      <c r="O35" s="2"/>
      <c r="P35" s="10">
        <f t="shared" ref="P35:P56" si="2">+M35-$Q$2</f>
        <v>1</v>
      </c>
      <c r="Q35" s="10">
        <f t="shared" ref="Q35:Q56" si="3">+L35-$Q$2</f>
        <v>-2</v>
      </c>
      <c r="S35" s="114">
        <v>29</v>
      </c>
    </row>
    <row r="36" spans="1:19" ht="15" x14ac:dyDescent="0.25">
      <c r="A36" s="191" t="s">
        <v>412</v>
      </c>
      <c r="B36" s="193">
        <v>45288</v>
      </c>
      <c r="C36" s="191" t="s">
        <v>743</v>
      </c>
      <c r="D36" s="195">
        <v>371.48</v>
      </c>
      <c r="K36" s="2"/>
      <c r="L36" s="193">
        <v>45288</v>
      </c>
      <c r="M36" s="113">
        <v>45292</v>
      </c>
      <c r="N36" s="113">
        <v>45292</v>
      </c>
      <c r="O36" s="2"/>
      <c r="P36" s="10">
        <f t="shared" si="2"/>
        <v>1</v>
      </c>
      <c r="Q36" s="10">
        <f t="shared" si="3"/>
        <v>-3</v>
      </c>
      <c r="S36" s="114">
        <v>29</v>
      </c>
    </row>
    <row r="37" spans="1:19" ht="15" x14ac:dyDescent="0.25">
      <c r="A37" s="191" t="s">
        <v>413</v>
      </c>
      <c r="B37" s="193">
        <v>45288</v>
      </c>
      <c r="C37" s="191" t="s">
        <v>744</v>
      </c>
      <c r="D37" s="195">
        <v>366.06</v>
      </c>
      <c r="K37" s="2"/>
      <c r="L37" s="193">
        <v>45288</v>
      </c>
      <c r="M37" s="113">
        <v>45292</v>
      </c>
      <c r="N37" s="113">
        <v>45292</v>
      </c>
      <c r="O37" s="2"/>
      <c r="P37" s="10">
        <f t="shared" si="2"/>
        <v>1</v>
      </c>
      <c r="Q37" s="10">
        <f t="shared" si="3"/>
        <v>-3</v>
      </c>
      <c r="S37" s="114">
        <v>29</v>
      </c>
    </row>
    <row r="38" spans="1:19" ht="15" x14ac:dyDescent="0.25">
      <c r="A38" s="191" t="s">
        <v>414</v>
      </c>
      <c r="B38" s="193">
        <v>45288</v>
      </c>
      <c r="C38" s="191" t="s">
        <v>745</v>
      </c>
      <c r="D38" s="195">
        <v>10.01</v>
      </c>
      <c r="K38" s="2"/>
      <c r="L38" s="193">
        <v>45288</v>
      </c>
      <c r="M38" s="113">
        <v>45292</v>
      </c>
      <c r="N38" s="113">
        <v>45292</v>
      </c>
      <c r="O38" s="2"/>
      <c r="P38" s="10">
        <f t="shared" si="2"/>
        <v>1</v>
      </c>
      <c r="Q38" s="10">
        <f t="shared" si="3"/>
        <v>-3</v>
      </c>
      <c r="S38" s="114">
        <v>29</v>
      </c>
    </row>
    <row r="39" spans="1:19" ht="15" x14ac:dyDescent="0.25">
      <c r="A39" s="191" t="s">
        <v>415</v>
      </c>
      <c r="B39" s="193">
        <v>45288</v>
      </c>
      <c r="C39" s="191" t="s">
        <v>746</v>
      </c>
      <c r="D39" s="195">
        <v>28.02</v>
      </c>
      <c r="K39" s="2"/>
      <c r="L39" s="193">
        <v>45288</v>
      </c>
      <c r="M39" s="113">
        <v>45292</v>
      </c>
      <c r="N39" s="113">
        <v>45292</v>
      </c>
      <c r="O39" s="2"/>
      <c r="P39" s="10">
        <f t="shared" si="2"/>
        <v>1</v>
      </c>
      <c r="Q39" s="10">
        <f t="shared" si="3"/>
        <v>-3</v>
      </c>
      <c r="S39" s="114">
        <v>29</v>
      </c>
    </row>
    <row r="40" spans="1:19" ht="15" x14ac:dyDescent="0.25">
      <c r="A40" s="191" t="s">
        <v>416</v>
      </c>
      <c r="B40" s="193">
        <v>45288</v>
      </c>
      <c r="C40" s="191" t="s">
        <v>747</v>
      </c>
      <c r="D40" s="195">
        <v>1354.12</v>
      </c>
      <c r="K40" s="2"/>
      <c r="L40" s="193">
        <v>45288</v>
      </c>
      <c r="M40" s="113">
        <v>45292</v>
      </c>
      <c r="N40" s="113">
        <v>45292</v>
      </c>
      <c r="O40" s="2"/>
      <c r="P40" s="10">
        <f t="shared" si="2"/>
        <v>1</v>
      </c>
      <c r="Q40" s="10">
        <f t="shared" si="3"/>
        <v>-3</v>
      </c>
      <c r="S40" s="114">
        <v>29</v>
      </c>
    </row>
    <row r="41" spans="1:19" ht="15" x14ac:dyDescent="0.25">
      <c r="A41" s="191" t="s">
        <v>417</v>
      </c>
      <c r="B41" s="193">
        <v>45288</v>
      </c>
      <c r="C41" s="191" t="s">
        <v>748</v>
      </c>
      <c r="D41" s="195">
        <v>37.51</v>
      </c>
      <c r="K41" s="2"/>
      <c r="L41" s="193">
        <v>45288</v>
      </c>
      <c r="M41" s="113">
        <v>45292</v>
      </c>
      <c r="N41" s="113">
        <v>45292</v>
      </c>
      <c r="O41" s="2"/>
      <c r="P41" s="10">
        <f t="shared" si="2"/>
        <v>1</v>
      </c>
      <c r="Q41" s="10">
        <f t="shared" si="3"/>
        <v>-3</v>
      </c>
      <c r="S41" s="114">
        <v>29</v>
      </c>
    </row>
    <row r="42" spans="1:19" ht="15" x14ac:dyDescent="0.25">
      <c r="A42" s="191" t="s">
        <v>418</v>
      </c>
      <c r="B42" s="193">
        <v>45288</v>
      </c>
      <c r="C42" s="191" t="s">
        <v>749</v>
      </c>
      <c r="D42" s="195">
        <v>41.33</v>
      </c>
      <c r="K42" s="2"/>
      <c r="L42" s="193">
        <v>45288</v>
      </c>
      <c r="M42" s="113">
        <v>45292</v>
      </c>
      <c r="N42" s="113">
        <v>45292</v>
      </c>
      <c r="O42" s="2"/>
      <c r="P42" s="10">
        <f t="shared" si="2"/>
        <v>1</v>
      </c>
      <c r="Q42" s="10">
        <f t="shared" si="3"/>
        <v>-3</v>
      </c>
      <c r="S42" s="114">
        <v>29</v>
      </c>
    </row>
    <row r="43" spans="1:19" ht="15" x14ac:dyDescent="0.25">
      <c r="A43" s="191" t="s">
        <v>419</v>
      </c>
      <c r="B43" s="193">
        <v>45288</v>
      </c>
      <c r="C43" s="191" t="s">
        <v>750</v>
      </c>
      <c r="D43" s="195">
        <v>21.83</v>
      </c>
      <c r="K43" s="2"/>
      <c r="L43" s="193">
        <v>45288</v>
      </c>
      <c r="M43" s="113">
        <v>45292</v>
      </c>
      <c r="N43" s="113">
        <v>45292</v>
      </c>
      <c r="O43" s="2"/>
      <c r="P43" s="10">
        <f t="shared" si="2"/>
        <v>1</v>
      </c>
      <c r="Q43" s="10">
        <f t="shared" si="3"/>
        <v>-3</v>
      </c>
      <c r="S43" s="114">
        <v>29</v>
      </c>
    </row>
    <row r="44" spans="1:19" ht="15" x14ac:dyDescent="0.25">
      <c r="A44" s="191" t="s">
        <v>420</v>
      </c>
      <c r="B44" s="193">
        <v>45288</v>
      </c>
      <c r="C44" s="191" t="s">
        <v>751</v>
      </c>
      <c r="D44" s="195">
        <v>50.16</v>
      </c>
      <c r="K44" s="2"/>
      <c r="L44" s="193">
        <v>45288</v>
      </c>
      <c r="M44" s="113">
        <v>45292</v>
      </c>
      <c r="N44" s="113">
        <v>45292</v>
      </c>
      <c r="O44" s="2"/>
      <c r="P44" s="10">
        <f t="shared" si="2"/>
        <v>1</v>
      </c>
      <c r="Q44" s="10">
        <f t="shared" si="3"/>
        <v>-3</v>
      </c>
      <c r="S44" s="114">
        <v>29</v>
      </c>
    </row>
    <row r="45" spans="1:19" ht="15" x14ac:dyDescent="0.25">
      <c r="A45" s="191" t="s">
        <v>421</v>
      </c>
      <c r="B45" s="193">
        <v>45288</v>
      </c>
      <c r="C45" s="191" t="s">
        <v>752</v>
      </c>
      <c r="D45" s="195">
        <v>12.97</v>
      </c>
      <c r="K45" s="2"/>
      <c r="L45" s="193">
        <v>45288</v>
      </c>
      <c r="M45" s="113">
        <v>45292</v>
      </c>
      <c r="N45" s="113">
        <v>45292</v>
      </c>
      <c r="O45" s="2"/>
      <c r="P45" s="10">
        <f t="shared" si="2"/>
        <v>1</v>
      </c>
      <c r="Q45" s="10">
        <f t="shared" si="3"/>
        <v>-3</v>
      </c>
      <c r="S45" s="114">
        <v>29</v>
      </c>
    </row>
    <row r="46" spans="1:19" ht="15" x14ac:dyDescent="0.25">
      <c r="A46" s="191" t="s">
        <v>422</v>
      </c>
      <c r="B46" s="193">
        <v>45288</v>
      </c>
      <c r="C46" s="191" t="s">
        <v>753</v>
      </c>
      <c r="D46" s="195">
        <v>25.84</v>
      </c>
      <c r="K46" s="2"/>
      <c r="L46" s="193">
        <v>45289</v>
      </c>
      <c r="M46" s="113">
        <v>45292</v>
      </c>
      <c r="N46" s="113">
        <v>45292</v>
      </c>
      <c r="O46" s="2"/>
      <c r="P46" s="10">
        <f t="shared" si="2"/>
        <v>1</v>
      </c>
      <c r="Q46" s="10">
        <f t="shared" si="3"/>
        <v>-2</v>
      </c>
      <c r="S46" s="114">
        <v>29</v>
      </c>
    </row>
    <row r="47" spans="1:19" ht="15" x14ac:dyDescent="0.25">
      <c r="A47" s="191" t="s">
        <v>423</v>
      </c>
      <c r="B47" s="193">
        <v>45273</v>
      </c>
      <c r="C47" s="191" t="s">
        <v>754</v>
      </c>
      <c r="D47" s="195">
        <v>2250</v>
      </c>
      <c r="K47" s="2"/>
      <c r="L47" s="193">
        <v>45273</v>
      </c>
      <c r="M47" s="113">
        <v>45306</v>
      </c>
      <c r="N47" s="113">
        <v>45306</v>
      </c>
      <c r="O47" s="2"/>
      <c r="P47" s="10">
        <f t="shared" si="2"/>
        <v>15</v>
      </c>
      <c r="Q47" s="10">
        <f t="shared" si="3"/>
        <v>-18</v>
      </c>
      <c r="S47" s="114">
        <v>29</v>
      </c>
    </row>
    <row r="48" spans="1:19" ht="15" x14ac:dyDescent="0.25">
      <c r="A48" s="191" t="s">
        <v>424</v>
      </c>
      <c r="B48" s="193">
        <v>45273</v>
      </c>
      <c r="C48" s="191" t="s">
        <v>755</v>
      </c>
      <c r="D48" s="195">
        <v>3000</v>
      </c>
      <c r="K48" s="2"/>
      <c r="L48" s="193">
        <v>45273</v>
      </c>
      <c r="M48" s="113">
        <v>45306</v>
      </c>
      <c r="N48" s="113">
        <v>45306</v>
      </c>
      <c r="O48" s="2"/>
      <c r="P48" s="10">
        <f t="shared" si="2"/>
        <v>15</v>
      </c>
      <c r="Q48" s="10">
        <f t="shared" si="3"/>
        <v>-18</v>
      </c>
      <c r="S48" s="114">
        <v>29</v>
      </c>
    </row>
    <row r="49" spans="1:19" ht="15" x14ac:dyDescent="0.25">
      <c r="A49" s="191" t="s">
        <v>425</v>
      </c>
      <c r="B49" s="193">
        <v>45281</v>
      </c>
      <c r="C49" s="191" t="s">
        <v>756</v>
      </c>
      <c r="D49" s="195">
        <v>629.20000000000005</v>
      </c>
      <c r="K49" s="2"/>
      <c r="L49" s="193">
        <v>45281</v>
      </c>
      <c r="M49" s="113">
        <v>45306</v>
      </c>
      <c r="N49" s="113">
        <v>45306</v>
      </c>
      <c r="O49" s="2"/>
      <c r="P49" s="10">
        <f t="shared" si="2"/>
        <v>15</v>
      </c>
      <c r="Q49" s="10">
        <f t="shared" si="3"/>
        <v>-10</v>
      </c>
      <c r="S49" s="114">
        <v>29</v>
      </c>
    </row>
    <row r="50" spans="1:19" ht="15" x14ac:dyDescent="0.25">
      <c r="A50" s="191" t="s">
        <v>426</v>
      </c>
      <c r="B50" s="193">
        <v>45291</v>
      </c>
      <c r="C50" s="191" t="s">
        <v>757</v>
      </c>
      <c r="D50" s="195">
        <v>375.1</v>
      </c>
      <c r="K50" s="2"/>
      <c r="L50" s="193">
        <v>45291</v>
      </c>
      <c r="M50" s="113">
        <v>45306</v>
      </c>
      <c r="N50" s="113">
        <v>45306</v>
      </c>
      <c r="O50" s="2"/>
      <c r="P50" s="10">
        <f t="shared" si="2"/>
        <v>15</v>
      </c>
      <c r="Q50" s="10">
        <f t="shared" si="3"/>
        <v>0</v>
      </c>
      <c r="S50" s="114">
        <v>29</v>
      </c>
    </row>
    <row r="51" spans="1:19" ht="15" x14ac:dyDescent="0.25">
      <c r="A51" s="191" t="s">
        <v>427</v>
      </c>
      <c r="B51" s="193">
        <v>45281</v>
      </c>
      <c r="C51" s="191" t="s">
        <v>758</v>
      </c>
      <c r="D51" s="195">
        <v>1597.2</v>
      </c>
      <c r="K51" s="2"/>
      <c r="L51" s="193">
        <v>45281</v>
      </c>
      <c r="M51" s="113">
        <v>45306</v>
      </c>
      <c r="N51" s="113">
        <v>45306</v>
      </c>
      <c r="O51" s="2"/>
      <c r="P51" s="10">
        <f t="shared" si="2"/>
        <v>15</v>
      </c>
      <c r="Q51" s="10">
        <f t="shared" si="3"/>
        <v>-10</v>
      </c>
      <c r="S51" s="114">
        <v>29</v>
      </c>
    </row>
    <row r="52" spans="1:19" ht="15" x14ac:dyDescent="0.25">
      <c r="A52" s="191" t="s">
        <v>428</v>
      </c>
      <c r="B52" s="193">
        <v>45281</v>
      </c>
      <c r="C52" s="191" t="s">
        <v>759</v>
      </c>
      <c r="D52" s="195">
        <v>840.95</v>
      </c>
      <c r="K52" s="2"/>
      <c r="L52" s="193">
        <v>45281</v>
      </c>
      <c r="M52" s="113">
        <v>45306</v>
      </c>
      <c r="N52" s="113">
        <v>45306</v>
      </c>
      <c r="O52" s="2"/>
      <c r="P52" s="10">
        <f t="shared" si="2"/>
        <v>15</v>
      </c>
      <c r="Q52" s="10">
        <f t="shared" si="3"/>
        <v>-10</v>
      </c>
      <c r="S52" s="114">
        <v>29</v>
      </c>
    </row>
    <row r="53" spans="1:19" ht="15" x14ac:dyDescent="0.25">
      <c r="A53" s="191" t="s">
        <v>429</v>
      </c>
      <c r="B53" s="193">
        <v>45281</v>
      </c>
      <c r="C53" s="191" t="s">
        <v>760</v>
      </c>
      <c r="D53" s="195">
        <v>5487.35</v>
      </c>
      <c r="K53" s="2"/>
      <c r="L53" s="193">
        <v>45281</v>
      </c>
      <c r="M53" s="113">
        <v>45306</v>
      </c>
      <c r="N53" s="113">
        <v>45306</v>
      </c>
      <c r="O53" s="2"/>
      <c r="P53" s="10">
        <f t="shared" si="2"/>
        <v>15</v>
      </c>
      <c r="Q53" s="10">
        <f t="shared" si="3"/>
        <v>-10</v>
      </c>
      <c r="S53" s="114">
        <v>29</v>
      </c>
    </row>
    <row r="54" spans="1:19" ht="15" x14ac:dyDescent="0.25">
      <c r="A54" s="191" t="s">
        <v>430</v>
      </c>
      <c r="B54" s="193">
        <v>45289</v>
      </c>
      <c r="C54" s="191" t="s">
        <v>761</v>
      </c>
      <c r="D54" s="195">
        <v>142.85</v>
      </c>
      <c r="K54" s="2"/>
      <c r="L54" s="193">
        <v>45289</v>
      </c>
      <c r="M54" s="113">
        <v>45306</v>
      </c>
      <c r="N54" s="113">
        <v>45306</v>
      </c>
      <c r="O54" s="2"/>
      <c r="P54" s="10">
        <f t="shared" si="2"/>
        <v>15</v>
      </c>
      <c r="Q54" s="10">
        <f t="shared" si="3"/>
        <v>-2</v>
      </c>
      <c r="S54" s="114">
        <v>29</v>
      </c>
    </row>
    <row r="55" spans="1:19" ht="15" x14ac:dyDescent="0.25">
      <c r="A55" s="191" t="s">
        <v>431</v>
      </c>
      <c r="B55" s="193">
        <v>45289</v>
      </c>
      <c r="C55" s="191" t="s">
        <v>762</v>
      </c>
      <c r="D55" s="195">
        <v>142.85</v>
      </c>
      <c r="K55" s="2"/>
      <c r="L55" s="193">
        <v>45289</v>
      </c>
      <c r="M55" s="113">
        <v>45306</v>
      </c>
      <c r="N55" s="113">
        <v>45306</v>
      </c>
      <c r="O55" s="2"/>
      <c r="P55" s="10">
        <f t="shared" si="2"/>
        <v>15</v>
      </c>
      <c r="Q55" s="10">
        <f t="shared" si="3"/>
        <v>-2</v>
      </c>
      <c r="S55" s="114">
        <v>29</v>
      </c>
    </row>
    <row r="56" spans="1:19" ht="15" x14ac:dyDescent="0.25">
      <c r="A56" s="191" t="s">
        <v>432</v>
      </c>
      <c r="B56" s="193">
        <v>45281</v>
      </c>
      <c r="C56" s="191" t="s">
        <v>763</v>
      </c>
      <c r="D56" s="195">
        <v>4567.75</v>
      </c>
      <c r="K56" s="2"/>
      <c r="L56" s="193">
        <v>45281</v>
      </c>
      <c r="M56" s="113">
        <v>45306</v>
      </c>
      <c r="N56" s="113">
        <v>45306</v>
      </c>
      <c r="O56" s="2"/>
      <c r="P56" s="10">
        <f t="shared" si="2"/>
        <v>15</v>
      </c>
      <c r="Q56" s="10">
        <f t="shared" si="3"/>
        <v>-10</v>
      </c>
      <c r="S56" s="114">
        <v>29</v>
      </c>
    </row>
    <row r="57" spans="1:19" ht="15" x14ac:dyDescent="0.25">
      <c r="A57" s="191" t="s">
        <v>433</v>
      </c>
      <c r="B57" s="193">
        <v>45264</v>
      </c>
      <c r="C57" s="191" t="s">
        <v>764</v>
      </c>
      <c r="D57" s="195">
        <v>205.07</v>
      </c>
      <c r="K57" s="2"/>
      <c r="L57" s="193">
        <v>45264</v>
      </c>
      <c r="M57" s="113">
        <v>45306</v>
      </c>
      <c r="N57" s="113">
        <v>45306</v>
      </c>
      <c r="O57" s="2"/>
      <c r="P57" s="10">
        <f t="shared" ref="P57:P74" si="4">+M57-$Q$2</f>
        <v>15</v>
      </c>
      <c r="Q57" s="10">
        <f t="shared" ref="Q57:Q74" si="5">+L57-$Q$2</f>
        <v>-27</v>
      </c>
      <c r="S57" s="114">
        <v>29</v>
      </c>
    </row>
    <row r="58" spans="1:19" ht="15" x14ac:dyDescent="0.25">
      <c r="A58" s="191" t="s">
        <v>435</v>
      </c>
      <c r="B58" s="193">
        <v>45288</v>
      </c>
      <c r="C58" s="191" t="s">
        <v>766</v>
      </c>
      <c r="D58" s="195">
        <v>4000.01</v>
      </c>
      <c r="K58" s="2"/>
      <c r="L58" s="193">
        <v>45288</v>
      </c>
      <c r="M58" s="113">
        <v>45306</v>
      </c>
      <c r="N58" s="113">
        <v>45306</v>
      </c>
      <c r="O58" s="2"/>
      <c r="P58" s="10">
        <f t="shared" si="4"/>
        <v>15</v>
      </c>
      <c r="Q58" s="10">
        <f t="shared" si="5"/>
        <v>-3</v>
      </c>
      <c r="S58" s="114">
        <v>29</v>
      </c>
    </row>
    <row r="59" spans="1:19" ht="15" x14ac:dyDescent="0.25">
      <c r="A59" s="191" t="s">
        <v>436</v>
      </c>
      <c r="B59" s="193">
        <v>45288</v>
      </c>
      <c r="C59" s="191" t="s">
        <v>767</v>
      </c>
      <c r="D59" s="195">
        <v>1750</v>
      </c>
      <c r="K59" s="2"/>
      <c r="L59" s="193">
        <v>45288</v>
      </c>
      <c r="M59" s="113">
        <v>45306</v>
      </c>
      <c r="N59" s="113">
        <v>45306</v>
      </c>
      <c r="O59" s="2"/>
      <c r="P59" s="10">
        <f t="shared" si="4"/>
        <v>15</v>
      </c>
      <c r="Q59" s="10">
        <f t="shared" si="5"/>
        <v>-3</v>
      </c>
      <c r="S59" s="114">
        <v>29</v>
      </c>
    </row>
    <row r="60" spans="1:19" ht="15" x14ac:dyDescent="0.25">
      <c r="A60" s="191" t="s">
        <v>437</v>
      </c>
      <c r="B60" s="193">
        <v>45281</v>
      </c>
      <c r="C60" s="191" t="s">
        <v>768</v>
      </c>
      <c r="D60" s="195">
        <v>605</v>
      </c>
      <c r="K60" s="2"/>
      <c r="L60" s="193">
        <v>45281</v>
      </c>
      <c r="M60" s="113">
        <v>45306</v>
      </c>
      <c r="N60" s="113">
        <v>45306</v>
      </c>
      <c r="O60" s="2"/>
      <c r="P60" s="10">
        <f t="shared" si="4"/>
        <v>15</v>
      </c>
      <c r="Q60" s="10">
        <f t="shared" si="5"/>
        <v>-10</v>
      </c>
      <c r="S60" s="114">
        <v>29</v>
      </c>
    </row>
    <row r="61" spans="1:19" ht="15" x14ac:dyDescent="0.25">
      <c r="A61" s="191" t="s">
        <v>438</v>
      </c>
      <c r="B61" s="193">
        <v>45291</v>
      </c>
      <c r="C61" s="191" t="s">
        <v>769</v>
      </c>
      <c r="D61" s="195">
        <v>320</v>
      </c>
      <c r="K61" s="2"/>
      <c r="L61" s="193">
        <v>45291</v>
      </c>
      <c r="M61" s="113">
        <v>45306</v>
      </c>
      <c r="N61" s="113">
        <v>45306</v>
      </c>
      <c r="O61" s="2"/>
      <c r="P61" s="10">
        <f t="shared" si="4"/>
        <v>15</v>
      </c>
      <c r="Q61" s="10">
        <f t="shared" si="5"/>
        <v>0</v>
      </c>
      <c r="S61" s="114">
        <v>29</v>
      </c>
    </row>
    <row r="62" spans="1:19" ht="15" x14ac:dyDescent="0.25">
      <c r="A62" s="191" t="s">
        <v>439</v>
      </c>
      <c r="B62" s="193">
        <v>45260</v>
      </c>
      <c r="C62" s="191" t="s">
        <v>770</v>
      </c>
      <c r="D62" s="195">
        <v>720</v>
      </c>
      <c r="K62" s="2"/>
      <c r="L62" s="193">
        <v>45260</v>
      </c>
      <c r="M62" s="113">
        <v>45306</v>
      </c>
      <c r="N62" s="113">
        <v>45306</v>
      </c>
      <c r="O62" s="2"/>
      <c r="P62" s="10">
        <f t="shared" si="4"/>
        <v>15</v>
      </c>
      <c r="Q62" s="10">
        <f t="shared" si="5"/>
        <v>-31</v>
      </c>
      <c r="S62" s="114">
        <v>29</v>
      </c>
    </row>
    <row r="63" spans="1:19" ht="15" x14ac:dyDescent="0.25">
      <c r="A63" s="191" t="s">
        <v>444</v>
      </c>
      <c r="B63" s="193">
        <v>45290</v>
      </c>
      <c r="C63" s="191" t="s">
        <v>775</v>
      </c>
      <c r="D63" s="195">
        <v>762.3</v>
      </c>
      <c r="K63" s="2"/>
      <c r="L63" s="193">
        <v>45290</v>
      </c>
      <c r="M63" s="113">
        <v>45292</v>
      </c>
      <c r="N63" s="113">
        <v>45292</v>
      </c>
      <c r="O63" s="2"/>
      <c r="P63" s="10">
        <f t="shared" si="4"/>
        <v>1</v>
      </c>
      <c r="Q63" s="10">
        <f t="shared" si="5"/>
        <v>-1</v>
      </c>
      <c r="S63" s="114">
        <v>29</v>
      </c>
    </row>
    <row r="64" spans="1:19" ht="15" x14ac:dyDescent="0.25">
      <c r="A64" s="191" t="s">
        <v>445</v>
      </c>
      <c r="B64" s="193">
        <v>45290</v>
      </c>
      <c r="C64" s="191" t="s">
        <v>776</v>
      </c>
      <c r="D64" s="195">
        <v>108.9</v>
      </c>
      <c r="K64" s="2"/>
      <c r="L64" s="193">
        <v>45290</v>
      </c>
      <c r="M64" s="113">
        <v>45292</v>
      </c>
      <c r="N64" s="113">
        <v>45292</v>
      </c>
      <c r="O64" s="2"/>
      <c r="P64" s="10">
        <f t="shared" si="4"/>
        <v>1</v>
      </c>
      <c r="Q64" s="10">
        <f t="shared" si="5"/>
        <v>-1</v>
      </c>
      <c r="S64" s="114">
        <v>29</v>
      </c>
    </row>
    <row r="65" spans="1:19" ht="15" x14ac:dyDescent="0.25">
      <c r="A65" s="191" t="s">
        <v>446</v>
      </c>
      <c r="B65" s="193">
        <v>45209</v>
      </c>
      <c r="C65" s="191" t="s">
        <v>777</v>
      </c>
      <c r="D65" s="195">
        <v>32.880000000000003</v>
      </c>
      <c r="K65" s="2"/>
      <c r="L65" s="193">
        <v>45209</v>
      </c>
      <c r="M65" s="113">
        <v>45292</v>
      </c>
      <c r="N65" s="113">
        <v>45292</v>
      </c>
      <c r="O65" s="2"/>
      <c r="P65" s="10">
        <f t="shared" si="4"/>
        <v>1</v>
      </c>
      <c r="Q65" s="10">
        <f t="shared" si="5"/>
        <v>-82</v>
      </c>
      <c r="S65" s="114">
        <v>29</v>
      </c>
    </row>
    <row r="66" spans="1:19" ht="15" x14ac:dyDescent="0.25">
      <c r="A66" s="191" t="s">
        <v>447</v>
      </c>
      <c r="B66" s="193">
        <v>45247</v>
      </c>
      <c r="C66" s="191" t="s">
        <v>778</v>
      </c>
      <c r="D66" s="195">
        <v>6.58</v>
      </c>
      <c r="K66" s="2"/>
      <c r="L66" s="193">
        <v>45247</v>
      </c>
      <c r="M66" s="113">
        <v>45292</v>
      </c>
      <c r="N66" s="113">
        <v>45292</v>
      </c>
      <c r="O66" s="2"/>
      <c r="P66" s="10">
        <f t="shared" si="4"/>
        <v>1</v>
      </c>
      <c r="Q66" s="10">
        <f t="shared" si="5"/>
        <v>-44</v>
      </c>
      <c r="S66" s="114">
        <v>29</v>
      </c>
    </row>
    <row r="67" spans="1:19" ht="15" x14ac:dyDescent="0.25">
      <c r="A67" s="191" t="s">
        <v>448</v>
      </c>
      <c r="B67" s="193">
        <v>45217</v>
      </c>
      <c r="C67" s="191" t="s">
        <v>779</v>
      </c>
      <c r="D67" s="195">
        <v>7.32</v>
      </c>
      <c r="K67" s="2"/>
      <c r="L67" s="193">
        <v>45217</v>
      </c>
      <c r="M67" s="113">
        <v>45292</v>
      </c>
      <c r="N67" s="113">
        <v>45292</v>
      </c>
      <c r="O67" s="2"/>
      <c r="P67" s="10">
        <f t="shared" si="4"/>
        <v>1</v>
      </c>
      <c r="Q67" s="10">
        <f t="shared" si="5"/>
        <v>-74</v>
      </c>
      <c r="S67" s="114">
        <v>29</v>
      </c>
    </row>
    <row r="68" spans="1:19" ht="15" x14ac:dyDescent="0.25">
      <c r="A68" s="191" t="s">
        <v>449</v>
      </c>
      <c r="B68" s="193">
        <v>45250</v>
      </c>
      <c r="C68" s="191" t="s">
        <v>780</v>
      </c>
      <c r="D68" s="195">
        <v>62.17</v>
      </c>
      <c r="K68" s="2"/>
      <c r="L68" s="193">
        <v>45250</v>
      </c>
      <c r="M68" s="113">
        <v>45292</v>
      </c>
      <c r="N68" s="113">
        <v>45292</v>
      </c>
      <c r="O68" s="2"/>
      <c r="P68" s="10">
        <f t="shared" si="4"/>
        <v>1</v>
      </c>
      <c r="Q68" s="10">
        <f t="shared" si="5"/>
        <v>-41</v>
      </c>
      <c r="S68" s="114">
        <v>29</v>
      </c>
    </row>
    <row r="69" spans="1:19" ht="15" x14ac:dyDescent="0.25">
      <c r="A69" s="191" t="s">
        <v>450</v>
      </c>
      <c r="B69" s="193">
        <v>45282</v>
      </c>
      <c r="C69" s="191" t="s">
        <v>781</v>
      </c>
      <c r="D69" s="195">
        <v>350.9</v>
      </c>
      <c r="K69" s="2"/>
      <c r="L69" s="193">
        <v>45282</v>
      </c>
      <c r="M69" s="113">
        <v>45292</v>
      </c>
      <c r="N69" s="113">
        <v>45292</v>
      </c>
      <c r="O69" s="2"/>
      <c r="P69" s="10">
        <f t="shared" si="4"/>
        <v>1</v>
      </c>
      <c r="Q69" s="10">
        <f t="shared" si="5"/>
        <v>-9</v>
      </c>
      <c r="S69" s="114">
        <v>29</v>
      </c>
    </row>
    <row r="70" spans="1:19" ht="15" x14ac:dyDescent="0.25">
      <c r="A70" s="191" t="s">
        <v>369</v>
      </c>
      <c r="B70" s="193">
        <v>45280</v>
      </c>
      <c r="C70" s="191" t="s">
        <v>702</v>
      </c>
      <c r="D70" s="195">
        <v>6243.6</v>
      </c>
      <c r="K70" s="2"/>
      <c r="L70" s="193">
        <v>45280</v>
      </c>
      <c r="M70" s="113">
        <v>45299</v>
      </c>
      <c r="N70" s="113">
        <v>45299</v>
      </c>
      <c r="O70" s="2"/>
      <c r="P70" s="10">
        <f t="shared" si="4"/>
        <v>8</v>
      </c>
      <c r="Q70" s="10">
        <f t="shared" si="5"/>
        <v>-11</v>
      </c>
      <c r="S70" s="114">
        <v>69</v>
      </c>
    </row>
    <row r="71" spans="1:19" ht="15" x14ac:dyDescent="0.25">
      <c r="A71" s="191" t="s">
        <v>387</v>
      </c>
      <c r="B71" s="193">
        <v>45286</v>
      </c>
      <c r="C71" s="191" t="s">
        <v>719</v>
      </c>
      <c r="D71" s="195">
        <v>15620.43</v>
      </c>
      <c r="K71" s="2"/>
      <c r="L71" s="193">
        <v>45286</v>
      </c>
      <c r="M71" s="113">
        <v>45299</v>
      </c>
      <c r="N71" s="113">
        <v>45299</v>
      </c>
      <c r="O71" s="2"/>
      <c r="P71" s="10">
        <f t="shared" si="4"/>
        <v>8</v>
      </c>
      <c r="Q71" s="10">
        <f t="shared" si="5"/>
        <v>-5</v>
      </c>
      <c r="S71" s="114">
        <v>69</v>
      </c>
    </row>
    <row r="72" spans="1:19" ht="15" x14ac:dyDescent="0.25">
      <c r="A72" s="191" t="s">
        <v>402</v>
      </c>
      <c r="B72" s="193">
        <v>45289</v>
      </c>
      <c r="C72" s="191" t="s">
        <v>733</v>
      </c>
      <c r="D72" s="195">
        <v>3811.49</v>
      </c>
      <c r="K72" s="2"/>
      <c r="L72" s="193">
        <v>45289</v>
      </c>
      <c r="M72" s="113">
        <v>45300</v>
      </c>
      <c r="N72" s="113">
        <v>45300</v>
      </c>
      <c r="O72" s="2"/>
      <c r="P72" s="10">
        <f t="shared" si="4"/>
        <v>9</v>
      </c>
      <c r="Q72" s="10">
        <f t="shared" si="5"/>
        <v>-2</v>
      </c>
      <c r="S72" s="114">
        <v>69</v>
      </c>
    </row>
    <row r="73" spans="1:19" ht="15" x14ac:dyDescent="0.25">
      <c r="A73" s="191" t="s">
        <v>403</v>
      </c>
      <c r="B73" s="193">
        <v>45289</v>
      </c>
      <c r="C73" s="191" t="s">
        <v>734</v>
      </c>
      <c r="D73" s="195">
        <v>828.04</v>
      </c>
      <c r="K73" s="2"/>
      <c r="L73" s="193">
        <v>45289</v>
      </c>
      <c r="M73" s="113">
        <v>45300</v>
      </c>
      <c r="N73" s="113">
        <v>45300</v>
      </c>
      <c r="O73" s="2"/>
      <c r="P73" s="10">
        <f t="shared" si="4"/>
        <v>9</v>
      </c>
      <c r="Q73" s="10">
        <f t="shared" si="5"/>
        <v>-2</v>
      </c>
      <c r="S73" s="114">
        <v>69</v>
      </c>
    </row>
    <row r="74" spans="1:19" ht="15" x14ac:dyDescent="0.25">
      <c r="A74" s="191" t="s">
        <v>404</v>
      </c>
      <c r="B74" s="193">
        <v>45289</v>
      </c>
      <c r="C74" s="191" t="s">
        <v>735</v>
      </c>
      <c r="D74" s="197">
        <v>2155.41</v>
      </c>
      <c r="K74" s="2"/>
      <c r="L74" s="193">
        <v>45289</v>
      </c>
      <c r="M74" s="113">
        <v>45300</v>
      </c>
      <c r="N74" s="113">
        <v>45300</v>
      </c>
      <c r="O74" s="2"/>
      <c r="P74" s="10">
        <f t="shared" si="4"/>
        <v>9</v>
      </c>
      <c r="Q74" s="10">
        <f t="shared" si="5"/>
        <v>-2</v>
      </c>
      <c r="S74" s="114">
        <v>69</v>
      </c>
    </row>
    <row r="75" spans="1:19" x14ac:dyDescent="0.2">
      <c r="D75" s="8">
        <f>SUM(D9:D74)</f>
        <v>83804.899999999994</v>
      </c>
    </row>
    <row r="79" spans="1:19" x14ac:dyDescent="0.2">
      <c r="D79" s="8">
        <f>SUM(D9:D10)</f>
        <v>2305.39</v>
      </c>
      <c r="E79" s="2">
        <v>20</v>
      </c>
      <c r="F79" s="2">
        <v>2</v>
      </c>
    </row>
    <row r="80" spans="1:19" x14ac:dyDescent="0.2">
      <c r="D80" s="8">
        <f>SUM(D11:D14)</f>
        <v>4831.21</v>
      </c>
      <c r="E80" s="2">
        <v>21</v>
      </c>
      <c r="F80" s="2">
        <v>5</v>
      </c>
    </row>
    <row r="81" spans="4:6" x14ac:dyDescent="0.2">
      <c r="D81" s="8">
        <f>SUM(D15:D20)</f>
        <v>2616.7000000000003</v>
      </c>
      <c r="E81" s="2">
        <v>22</v>
      </c>
      <c r="F81" s="2">
        <v>6</v>
      </c>
    </row>
    <row r="82" spans="4:6" x14ac:dyDescent="0.2">
      <c r="D82" s="8">
        <f>SUM(D21:D69)</f>
        <v>45392.630000000005</v>
      </c>
      <c r="E82" s="2">
        <v>29</v>
      </c>
      <c r="F82" s="2">
        <v>49</v>
      </c>
    </row>
    <row r="83" spans="4:6" x14ac:dyDescent="0.2">
      <c r="D83" s="111">
        <f>SUM(D70:D74)</f>
        <v>28658.969999999998</v>
      </c>
      <c r="E83" s="2">
        <v>69</v>
      </c>
      <c r="F83" s="112">
        <v>5</v>
      </c>
    </row>
    <row r="84" spans="4:6" x14ac:dyDescent="0.2">
      <c r="D84" s="8">
        <f>SUM(D79:D83)</f>
        <v>83804.900000000009</v>
      </c>
      <c r="F84" s="2">
        <f>SUM(F79:F83)</f>
        <v>67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Orria4">
    <tabColor indexed="42"/>
  </sheetPr>
  <dimension ref="A1:T2"/>
  <sheetViews>
    <sheetView zoomScaleNormal="100" workbookViewId="0">
      <selection activeCell="P2" sqref="P2"/>
    </sheetView>
  </sheetViews>
  <sheetFormatPr defaultRowHeight="11.25" x14ac:dyDescent="0.2"/>
  <cols>
    <col min="1" max="1" width="16.7109375" style="2" customWidth="1"/>
    <col min="2" max="2" width="10.7109375" style="15" bestFit="1" customWidth="1"/>
    <col min="3" max="3" width="18.28515625" style="2" bestFit="1" customWidth="1"/>
    <col min="4" max="4" width="11.140625" style="8" customWidth="1"/>
    <col min="5" max="5" width="7.42578125" style="2" bestFit="1" customWidth="1"/>
    <col min="6" max="7" width="9.140625" style="2"/>
    <col min="8" max="8" width="7.42578125" style="2" customWidth="1"/>
    <col min="9" max="9" width="7" style="2" customWidth="1"/>
    <col min="10" max="10" width="17" style="2" bestFit="1" customWidth="1"/>
    <col min="11" max="11" width="11.140625" style="15" customWidth="1"/>
    <col min="12" max="12" width="9.140625" style="15"/>
    <col min="13" max="14" width="10.7109375" style="15" bestFit="1" customWidth="1"/>
    <col min="15" max="15" width="9.140625" style="10"/>
    <col min="16" max="16" width="9.85546875" style="10" bestFit="1" customWidth="1"/>
    <col min="17" max="17" width="9.85546875" style="2" bestFit="1" customWidth="1"/>
    <col min="18" max="19" width="15.5703125" style="8" bestFit="1" customWidth="1"/>
    <col min="20" max="16384" width="9.140625" style="2"/>
  </cols>
  <sheetData>
    <row r="1" spans="1:20" x14ac:dyDescent="0.2">
      <c r="A1" s="3" t="s">
        <v>81</v>
      </c>
      <c r="B1" s="17"/>
      <c r="C1" s="4"/>
      <c r="D1" s="7"/>
      <c r="E1" s="4"/>
      <c r="F1" s="4"/>
      <c r="G1" s="4"/>
      <c r="H1" s="2" t="s">
        <v>107</v>
      </c>
      <c r="K1" s="2"/>
      <c r="O1" s="10" t="s">
        <v>102</v>
      </c>
      <c r="P1" s="107">
        <v>45291</v>
      </c>
      <c r="R1" s="2"/>
    </row>
    <row r="2" spans="1:20" ht="38.25" customHeight="1" x14ac:dyDescent="0.2">
      <c r="A2" s="5" t="s">
        <v>75</v>
      </c>
      <c r="B2" s="18" t="s">
        <v>70</v>
      </c>
      <c r="C2" s="6" t="s">
        <v>85</v>
      </c>
      <c r="D2" s="9" t="s">
        <v>44</v>
      </c>
      <c r="E2" s="5" t="s">
        <v>84</v>
      </c>
      <c r="F2" s="6" t="s">
        <v>71</v>
      </c>
      <c r="G2" s="6" t="s">
        <v>72</v>
      </c>
      <c r="H2" s="6" t="s">
        <v>82</v>
      </c>
      <c r="I2" s="6" t="s">
        <v>83</v>
      </c>
      <c r="J2" s="6" t="s">
        <v>73</v>
      </c>
      <c r="K2" s="16" t="s">
        <v>74</v>
      </c>
      <c r="L2" s="16" t="s">
        <v>76</v>
      </c>
      <c r="M2" s="16" t="s">
        <v>91</v>
      </c>
      <c r="N2" s="16" t="s">
        <v>92</v>
      </c>
      <c r="O2" s="12" t="s">
        <v>109</v>
      </c>
      <c r="P2" s="14" t="s">
        <v>110</v>
      </c>
      <c r="Q2" s="2" t="s">
        <v>111</v>
      </c>
      <c r="R2" s="8" t="s">
        <v>112</v>
      </c>
      <c r="S2" s="8" t="s">
        <v>113</v>
      </c>
      <c r="T2" s="2" t="s">
        <v>114</v>
      </c>
    </row>
  </sheetData>
  <phoneticPr fontId="4" type="noConversion"/>
  <pageMargins left="0.75" right="0.75" top="1" bottom="1" header="0.4921259845" footer="0.4921259845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4</vt:i4>
      </vt:variant>
      <vt:variant>
        <vt:lpstr>Barruti izendunak</vt:lpstr>
      </vt:variant>
      <vt:variant>
        <vt:i4>3</vt:i4>
      </vt:variant>
    </vt:vector>
  </HeadingPairs>
  <TitlesOfParts>
    <vt:vector size="7" baseType="lpstr">
      <vt:lpstr>TXOSTENA</vt:lpstr>
      <vt:lpstr>xehet1</vt:lpstr>
      <vt:lpstr>xehet2</vt:lpstr>
      <vt:lpstr>xehet32</vt:lpstr>
      <vt:lpstr>xehet1!Inprimatzeko_area</vt:lpstr>
      <vt:lpstr>xehet2!Inprimatzeko_area</vt:lpstr>
      <vt:lpstr>xehet32!Inprimatzeko_area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USR05</dc:creator>
  <cp:lastModifiedBy>Natalia Ruiz</cp:lastModifiedBy>
  <cp:lastPrinted>2019-07-18T10:03:00Z</cp:lastPrinted>
  <dcterms:created xsi:type="dcterms:W3CDTF">2013-12-21T08:23:27Z</dcterms:created>
  <dcterms:modified xsi:type="dcterms:W3CDTF">2024-01-17T07:49:20Z</dcterms:modified>
</cp:coreProperties>
</file>