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INFORME" sheetId="1" r:id="rId1"/>
    <sheet name="detalle1" sheetId="2" r:id="rId2"/>
    <sheet name="detalle2" sheetId="3" r:id="rId3"/>
    <sheet name="detalle32" sheetId="4" r:id="rId4"/>
  </sheets>
  <definedNames>
    <definedName name="_xlnm.Print_Area" localSheetId="1">'detalle1'!$A$3:$R$131</definedName>
    <definedName name="_xlnm.Print_Area" localSheetId="2">'detalle2'!$A$1:$R$21</definedName>
    <definedName name="_xlnm.Print_Area" localSheetId="3">'detalle32'!$A$3:$P$19</definedName>
  </definedNames>
  <calcPr fullCalcOnLoad="1"/>
</workbook>
</file>

<file path=xl/sharedStrings.xml><?xml version="1.0" encoding="utf-8"?>
<sst xmlns="http://schemas.openxmlformats.org/spreadsheetml/2006/main" count="698" uniqueCount="632">
  <si>
    <t>20 -</t>
  </si>
  <si>
    <t>21 -</t>
  </si>
  <si>
    <t>22 -</t>
  </si>
  <si>
    <t>23 -</t>
  </si>
  <si>
    <t>2X -</t>
  </si>
  <si>
    <t>6X -</t>
  </si>
  <si>
    <t>%</t>
  </si>
  <si>
    <t>* 2. eta 6. kapituluari dagozkion fakturak soilik</t>
  </si>
  <si>
    <t>Partida</t>
  </si>
  <si>
    <t>ADO-17</t>
  </si>
  <si>
    <t>ADO-12</t>
  </si>
  <si>
    <t>capit</t>
  </si>
  <si>
    <t>29 -</t>
  </si>
  <si>
    <t>Entidad local:</t>
  </si>
  <si>
    <t>OARSOALDEA</t>
  </si>
  <si>
    <t>1. Pagos realizados en el trimestre. Plazo desde el reconocimiento de la obligación.</t>
  </si>
  <si>
    <t>1.1. Por clasificación económica.</t>
  </si>
  <si>
    <t>Pagos en el trimestre</t>
  </si>
  <si>
    <t>Plazo de pago</t>
  </si>
  <si>
    <t>(promedio de días)</t>
  </si>
  <si>
    <t>Total</t>
  </si>
  <si>
    <t>De las de fuera de plazo</t>
  </si>
  <si>
    <t>Pagos realizados en el trimestre</t>
  </si>
  <si>
    <t>Dentro del plazo legal</t>
  </si>
  <si>
    <t>Fuera del plazo legal</t>
  </si>
  <si>
    <t>Número de pagos</t>
  </si>
  <si>
    <t>Importe total</t>
  </si>
  <si>
    <t>Gasto en bienes corrientes y servicios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</si>
  <si>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</si>
  <si>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</si>
  <si>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</si>
  <si>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</si>
  <si>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</si>
  <si>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realez</t>
  </si>
  <si>
    <t>Pagos pendientes de aplicar al presupuesto*</t>
  </si>
  <si>
    <t>Pagos pendientes de aplicar al presupuesto</t>
  </si>
  <si>
    <t>sólo facturas correspondientes a capitulos 2 y 6</t>
  </si>
  <si>
    <t>1.2. Por plazos</t>
  </si>
  <si>
    <t>Numero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</si>
  <si>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</si>
  <si>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</si>
  <si>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</si>
  <si>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</si>
  <si>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</si>
  <si>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</si>
  <si>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2. Facturas pendientes de pago. Plazo dede el reconocimiento de la obligación</t>
  </si>
  <si>
    <t>Facturas y documentos justificativos pendientes de pago al final del trimestre</t>
  </si>
  <si>
    <t>Inversiones reales</t>
  </si>
  <si>
    <t>* sólo facturas correspondientes a capítulos 2 y 6</t>
  </si>
  <si>
    <t>Pendientes de pago al finalizar el trimestre</t>
  </si>
  <si>
    <t>Número de operaciones</t>
  </si>
  <si>
    <t>3. Facturas y documentos justificativos sin obligación reconocida al finalizar el trimestre</t>
  </si>
  <si>
    <t>3.1. Con más de tres meses desde su entrada en registro</t>
  </si>
  <si>
    <t>Facturas y documentos justificativos sin obligación reconocida pasados más de tres meses desde su registro</t>
  </si>
  <si>
    <t>Plazo (promedio de días)</t>
  </si>
  <si>
    <t>Número</t>
  </si>
  <si>
    <t>3.2. Número de días desde su entrada en registro</t>
  </si>
  <si>
    <t>Facturas y documentos justificativos sin obligación reconocida</t>
  </si>
  <si>
    <t>Facturas sin obligación reconocida</t>
  </si>
  <si>
    <t>4. Plazo medio de pago de la entidad (PMP)</t>
  </si>
  <si>
    <t>PMP del trimestre</t>
  </si>
  <si>
    <t>Operaciones pagadas</t>
  </si>
  <si>
    <t>Ratio</t>
  </si>
  <si>
    <t>Importe</t>
  </si>
  <si>
    <t>Operaciones pendientes de pago</t>
  </si>
  <si>
    <t>PMP</t>
  </si>
  <si>
    <t>Observaciones sobre el PMP:</t>
  </si>
  <si>
    <t>INFORMACION SOBRE PLAZOS DE PAGO</t>
  </si>
  <si>
    <t>Ejercicio:</t>
  </si>
  <si>
    <t>Trimestre:</t>
  </si>
  <si>
    <t>Número fra</t>
  </si>
  <si>
    <t>Tercero</t>
  </si>
  <si>
    <t>Concepto</t>
  </si>
  <si>
    <t>Fecha O</t>
  </si>
  <si>
    <t>Fecha P</t>
  </si>
  <si>
    <t>Artíc.</t>
  </si>
  <si>
    <t>ponderación 1</t>
  </si>
  <si>
    <t>ponderación 2</t>
  </si>
  <si>
    <t>En plazo</t>
  </si>
  <si>
    <t>ESTO NO RELLENAR</t>
  </si>
  <si>
    <t>Facturas que en el trimestre se han quedado sin pagar (hechas O)</t>
  </si>
  <si>
    <t>Número
 expediente</t>
  </si>
  <si>
    <t>Fecha fra</t>
  </si>
  <si>
    <t>Código
tercero</t>
  </si>
  <si>
    <t>Fecha
 registro</t>
  </si>
  <si>
    <t>Fecha
 Descent.</t>
  </si>
  <si>
    <t>Plazo R-O</t>
  </si>
  <si>
    <t>Plazo
 O
 - fin trim.</t>
  </si>
  <si>
    <t>Plazo
 R 
 - fin trim</t>
  </si>
  <si>
    <t>Fin Trim.</t>
  </si>
  <si>
    <t>hautazkoak</t>
  </si>
  <si>
    <t>Hiruhilekoan ordaindutako fakturak</t>
  </si>
  <si>
    <t>betebeharrekoak</t>
  </si>
  <si>
    <t>onarpena</t>
  </si>
  <si>
    <t>ordainketa</t>
  </si>
  <si>
    <t>Hiruhilekoan O egin gabe gelditu direnak</t>
  </si>
  <si>
    <t>Gastos en bienes y servicios</t>
  </si>
  <si>
    <t>En la ejecución del presupuesto</t>
  </si>
  <si>
    <t>entre 31 y 60 días</t>
  </si>
  <si>
    <t>entre 61 y 90 días</t>
  </si>
  <si>
    <t>más de 90 días</t>
  </si>
  <si>
    <t>Número expediente</t>
  </si>
  <si>
    <t>Plazo
 R-fin trim</t>
  </si>
  <si>
    <t>Fecha factura</t>
  </si>
  <si>
    <t>Código.
Tercero</t>
  </si>
  <si>
    <t>Fecha registro</t>
  </si>
  <si>
    <t>Fecha descent.</t>
  </si>
  <si>
    <t>Plazp R
 O</t>
  </si>
  <si>
    <t>Plazo
 O-P</t>
  </si>
  <si>
    <t>Plazo
 R-P</t>
  </si>
  <si>
    <t>4º trimestre</t>
  </si>
  <si>
    <t>FIN TRIM</t>
  </si>
  <si>
    <t>FCC1600695</t>
  </si>
  <si>
    <t>1610C0580540</t>
  </si>
  <si>
    <t>FCC1600708</t>
  </si>
  <si>
    <t>28-J680-810519</t>
  </si>
  <si>
    <t>FCC1600714</t>
  </si>
  <si>
    <t>FLL AWD40845</t>
  </si>
  <si>
    <t>FCC1600717</t>
  </si>
  <si>
    <t>2263447</t>
  </si>
  <si>
    <t>FCC1600718</t>
  </si>
  <si>
    <t>22016228541</t>
  </si>
  <si>
    <t>FCC1600726</t>
  </si>
  <si>
    <t>G-13092</t>
  </si>
  <si>
    <t>FCC1600734</t>
  </si>
  <si>
    <t>SA 4508</t>
  </si>
  <si>
    <t>FCC1600735</t>
  </si>
  <si>
    <t>20161014010401929</t>
  </si>
  <si>
    <t>FCC1600736</t>
  </si>
  <si>
    <t>20161014010401928</t>
  </si>
  <si>
    <t>FCC1600737</t>
  </si>
  <si>
    <t>20161014010159957</t>
  </si>
  <si>
    <t>FCC1600738</t>
  </si>
  <si>
    <t>20161013010420712</t>
  </si>
  <si>
    <t>FCC1600739</t>
  </si>
  <si>
    <t>20161013010259038</t>
  </si>
  <si>
    <t>FCC1600740</t>
  </si>
  <si>
    <t>2016/69005</t>
  </si>
  <si>
    <t>FCC1600741</t>
  </si>
  <si>
    <t>268</t>
  </si>
  <si>
    <t>FCC1600742</t>
  </si>
  <si>
    <t>269</t>
  </si>
  <si>
    <t>FCC1600749</t>
  </si>
  <si>
    <t>BL0415</t>
  </si>
  <si>
    <t>FCC1600750</t>
  </si>
  <si>
    <t>16/A-063</t>
  </si>
  <si>
    <t>FCC1600754</t>
  </si>
  <si>
    <t>1F036316</t>
  </si>
  <si>
    <t>FCC1600755</t>
  </si>
  <si>
    <t>1F036416</t>
  </si>
  <si>
    <t>FCC1600757</t>
  </si>
  <si>
    <t>TA5E80095661</t>
  </si>
  <si>
    <t>FCC1600758</t>
  </si>
  <si>
    <t>90</t>
  </si>
  <si>
    <t>FCC1600759</t>
  </si>
  <si>
    <t>A 21422</t>
  </si>
  <si>
    <t>FCC1600760</t>
  </si>
  <si>
    <t>2016/5</t>
  </si>
  <si>
    <t>FCC1600762</t>
  </si>
  <si>
    <t>1128/2016</t>
  </si>
  <si>
    <t>FCC1600765</t>
  </si>
  <si>
    <t>20161017010005266</t>
  </si>
  <si>
    <t>FCC1600766</t>
  </si>
  <si>
    <t>20161018010005341</t>
  </si>
  <si>
    <t>FCC1600767</t>
  </si>
  <si>
    <t>20161018010005495</t>
  </si>
  <si>
    <t>FCC1600768</t>
  </si>
  <si>
    <t>1014/16</t>
  </si>
  <si>
    <t>FCC1600769</t>
  </si>
  <si>
    <t>150/16</t>
  </si>
  <si>
    <t>FCC1600770</t>
  </si>
  <si>
    <t>159/16</t>
  </si>
  <si>
    <t>FCC1600772</t>
  </si>
  <si>
    <t>00205</t>
  </si>
  <si>
    <t>FCC1600773</t>
  </si>
  <si>
    <t>00206</t>
  </si>
  <si>
    <t>FCC1600774</t>
  </si>
  <si>
    <t>B/461</t>
  </si>
  <si>
    <t>FCC1600775</t>
  </si>
  <si>
    <t>B/462</t>
  </si>
  <si>
    <t>FCC1600776</t>
  </si>
  <si>
    <t>B/463</t>
  </si>
  <si>
    <t>FCC1600777</t>
  </si>
  <si>
    <t>H16/839</t>
  </si>
  <si>
    <t>FCC1600778</t>
  </si>
  <si>
    <t>G-13125</t>
  </si>
  <si>
    <t>FCC1600779</t>
  </si>
  <si>
    <t>G-13129</t>
  </si>
  <si>
    <t>FCC1600780</t>
  </si>
  <si>
    <t>G-13137</t>
  </si>
  <si>
    <t>FCC1600784</t>
  </si>
  <si>
    <t>1149/2016</t>
  </si>
  <si>
    <t>FCC1600788</t>
  </si>
  <si>
    <t>G-13124</t>
  </si>
  <si>
    <t>FCC1600789</t>
  </si>
  <si>
    <t>532/16/GIP</t>
  </si>
  <si>
    <t>FCC1600790</t>
  </si>
  <si>
    <t>533/16/GIP</t>
  </si>
  <si>
    <t>FCC1600791</t>
  </si>
  <si>
    <t>534/16/GIP</t>
  </si>
  <si>
    <t>FCC1600794</t>
  </si>
  <si>
    <t>291658187490-3</t>
  </si>
  <si>
    <t>FCC1600795</t>
  </si>
  <si>
    <t>1611C0572793</t>
  </si>
  <si>
    <t>FCC1600796</t>
  </si>
  <si>
    <t>16393</t>
  </si>
  <si>
    <t>FCC1600797</t>
  </si>
  <si>
    <t>16389</t>
  </si>
  <si>
    <t>FCC1600798</t>
  </si>
  <si>
    <t>GTS OBRA NOV</t>
  </si>
  <si>
    <t>FCC1600799</t>
  </si>
  <si>
    <t>365858</t>
  </si>
  <si>
    <t>FCC1600800</t>
  </si>
  <si>
    <t>8417</t>
  </si>
  <si>
    <t>FCC1600801</t>
  </si>
  <si>
    <t>205</t>
  </si>
  <si>
    <t>FCC1600802</t>
  </si>
  <si>
    <t>20/0FA-0010275</t>
  </si>
  <si>
    <t>FCC1600803</t>
  </si>
  <si>
    <t>365680</t>
  </si>
  <si>
    <t>FCC1600804</t>
  </si>
  <si>
    <t>F11000044</t>
  </si>
  <si>
    <t>FCC1600805</t>
  </si>
  <si>
    <t>G-13153</t>
  </si>
  <si>
    <t>FCC1600806</t>
  </si>
  <si>
    <t>SI201700948</t>
  </si>
  <si>
    <t>FCC1600807</t>
  </si>
  <si>
    <t>ESS 16/2016</t>
  </si>
  <si>
    <t>FCC1600808</t>
  </si>
  <si>
    <t>20160649</t>
  </si>
  <si>
    <t>FCC1600809</t>
  </si>
  <si>
    <t>20160629</t>
  </si>
  <si>
    <t>FCC1600811</t>
  </si>
  <si>
    <t>FV1600443</t>
  </si>
  <si>
    <t>FCC1600812</t>
  </si>
  <si>
    <t>01MOTJE</t>
  </si>
  <si>
    <t>FCC1600813</t>
  </si>
  <si>
    <t>01MOTJH</t>
  </si>
  <si>
    <t>FCC1600814</t>
  </si>
  <si>
    <t>01MOTJG</t>
  </si>
  <si>
    <t>FCC1600815</t>
  </si>
  <si>
    <t>01M197I</t>
  </si>
  <si>
    <t>FCC1600816</t>
  </si>
  <si>
    <t>01MOTJF</t>
  </si>
  <si>
    <t>FCC1600817</t>
  </si>
  <si>
    <t>01LQPBA</t>
  </si>
  <si>
    <t>FCC1600818</t>
  </si>
  <si>
    <t>01LQPBD</t>
  </si>
  <si>
    <t>FCC1600819</t>
  </si>
  <si>
    <t>01LQPBC</t>
  </si>
  <si>
    <t>FCC1600820</t>
  </si>
  <si>
    <t>01LRORY</t>
  </si>
  <si>
    <t>FCC1600821</t>
  </si>
  <si>
    <t>01LQPBB</t>
  </si>
  <si>
    <t>FCC1600822</t>
  </si>
  <si>
    <t>B/1393851</t>
  </si>
  <si>
    <t>FCC1600823</t>
  </si>
  <si>
    <t>B/1390276</t>
  </si>
  <si>
    <t>FCC1600824</t>
  </si>
  <si>
    <t>26.754</t>
  </si>
  <si>
    <t>FCC1600827</t>
  </si>
  <si>
    <t>7250122060</t>
  </si>
  <si>
    <t>FCC1600828</t>
  </si>
  <si>
    <t>161830/A</t>
  </si>
  <si>
    <t>FCC1600829</t>
  </si>
  <si>
    <t>BE-193</t>
  </si>
  <si>
    <t>FCC1600830</t>
  </si>
  <si>
    <t>16743</t>
  </si>
  <si>
    <t>FCC1600831</t>
  </si>
  <si>
    <t>20161017010005265</t>
  </si>
  <si>
    <t>FCC1600832</t>
  </si>
  <si>
    <t>20161017010005267</t>
  </si>
  <si>
    <t>FCC1600833</t>
  </si>
  <si>
    <t>20161017010308551</t>
  </si>
  <si>
    <t>FCC1600834</t>
  </si>
  <si>
    <t>13</t>
  </si>
  <si>
    <t>FCC1600835</t>
  </si>
  <si>
    <t>16365</t>
  </si>
  <si>
    <t>FCC1600836</t>
  </si>
  <si>
    <t>16-S-2.784</t>
  </si>
  <si>
    <t>FCC1600837</t>
  </si>
  <si>
    <t>00002</t>
  </si>
  <si>
    <t>FCC1600838</t>
  </si>
  <si>
    <t>16_070</t>
  </si>
  <si>
    <t>FCC1600839</t>
  </si>
  <si>
    <t>2016/43</t>
  </si>
  <si>
    <t>FCC1600840</t>
  </si>
  <si>
    <t>08/16</t>
  </si>
  <si>
    <t>FCC1600841</t>
  </si>
  <si>
    <t>E012</t>
  </si>
  <si>
    <t>FCC1600842</t>
  </si>
  <si>
    <t>A 21486</t>
  </si>
  <si>
    <t>FCC1600843</t>
  </si>
  <si>
    <t>A 21626</t>
  </si>
  <si>
    <t>FCC1600844</t>
  </si>
  <si>
    <t>A 21670</t>
  </si>
  <si>
    <t>FCC1600845</t>
  </si>
  <si>
    <t>92</t>
  </si>
  <si>
    <t>FCC1600846</t>
  </si>
  <si>
    <t>16/A-069</t>
  </si>
  <si>
    <t>FCC1600855</t>
  </si>
  <si>
    <t>2103</t>
  </si>
  <si>
    <t>FCC1600856</t>
  </si>
  <si>
    <t>14/16</t>
  </si>
  <si>
    <t>FCC1600857</t>
  </si>
  <si>
    <t>26.772</t>
  </si>
  <si>
    <t>FCC1600858</t>
  </si>
  <si>
    <t>26.787</t>
  </si>
  <si>
    <t>FCC1600860</t>
  </si>
  <si>
    <t>001</t>
  </si>
  <si>
    <t>FCC1600861</t>
  </si>
  <si>
    <t>16/080</t>
  </si>
  <si>
    <t>FCC1600862</t>
  </si>
  <si>
    <t>161348</t>
  </si>
  <si>
    <t>FCC1600863</t>
  </si>
  <si>
    <t>2016/06</t>
  </si>
  <si>
    <t>FCC1600864</t>
  </si>
  <si>
    <t>2016-015</t>
  </si>
  <si>
    <t>FCC1600865</t>
  </si>
  <si>
    <t>30/2016</t>
  </si>
  <si>
    <t>FCC1600866</t>
  </si>
  <si>
    <t>16/1476</t>
  </si>
  <si>
    <t>FCC1600867</t>
  </si>
  <si>
    <t>00-0003980/2016</t>
  </si>
  <si>
    <t>FCC1600868</t>
  </si>
  <si>
    <t>20161115010168411</t>
  </si>
  <si>
    <t>FCC1600869</t>
  </si>
  <si>
    <t>226</t>
  </si>
  <si>
    <t>FCC1600870</t>
  </si>
  <si>
    <t>16-S-3088</t>
  </si>
  <si>
    <t>FCC1600871</t>
  </si>
  <si>
    <t>16405</t>
  </si>
  <si>
    <t>FCC1600873</t>
  </si>
  <si>
    <t>230057</t>
  </si>
  <si>
    <t>FCC1600874</t>
  </si>
  <si>
    <t>21200/2016</t>
  </si>
  <si>
    <t>FCC1600875</t>
  </si>
  <si>
    <t>21199/2016</t>
  </si>
  <si>
    <t>FCC1600876</t>
  </si>
  <si>
    <t>20161116010005534</t>
  </si>
  <si>
    <t>FCC1600877</t>
  </si>
  <si>
    <t>20161115010297184</t>
  </si>
  <si>
    <t>FCC1600878</t>
  </si>
  <si>
    <t>20161116010005533</t>
  </si>
  <si>
    <t>FCC1600879</t>
  </si>
  <si>
    <t>A 17034</t>
  </si>
  <si>
    <t>FCC1600880</t>
  </si>
  <si>
    <t>17-2016</t>
  </si>
  <si>
    <t>FCC1600881</t>
  </si>
  <si>
    <t>058</t>
  </si>
  <si>
    <t>FCC1600882</t>
  </si>
  <si>
    <t>16/1521</t>
  </si>
  <si>
    <t>FCC1600883</t>
  </si>
  <si>
    <t>16/1534</t>
  </si>
  <si>
    <t>FCC1600884</t>
  </si>
  <si>
    <t>161747</t>
  </si>
  <si>
    <t>FCC1600885</t>
  </si>
  <si>
    <t>SA 4567</t>
  </si>
  <si>
    <t>FCC1600886</t>
  </si>
  <si>
    <t>1370</t>
  </si>
  <si>
    <t>FCC1600887</t>
  </si>
  <si>
    <t>001413</t>
  </si>
  <si>
    <t>FCC1600888</t>
  </si>
  <si>
    <t>F16-183</t>
  </si>
  <si>
    <t>FCC1600889</t>
  </si>
  <si>
    <t>26805</t>
  </si>
  <si>
    <t>FCC1600890</t>
  </si>
  <si>
    <t>26821</t>
  </si>
  <si>
    <t>FCC1600891</t>
  </si>
  <si>
    <t>A 21861</t>
  </si>
  <si>
    <t>FCC1600892</t>
  </si>
  <si>
    <t>14</t>
  </si>
  <si>
    <t>FCC1600893</t>
  </si>
  <si>
    <t>15</t>
  </si>
  <si>
    <t>FCC1600894</t>
  </si>
  <si>
    <t>301</t>
  </si>
  <si>
    <t>FCC1600895</t>
  </si>
  <si>
    <t>BN9513</t>
  </si>
  <si>
    <t>FCC1600896</t>
  </si>
  <si>
    <t>BO4371</t>
  </si>
  <si>
    <t>FCC1600897</t>
  </si>
  <si>
    <t>1232/2016</t>
  </si>
  <si>
    <t>FCC1600898</t>
  </si>
  <si>
    <t>SI201702098</t>
  </si>
  <si>
    <t>FCC1600899</t>
  </si>
  <si>
    <t>16433</t>
  </si>
  <si>
    <t>FCC1600921</t>
  </si>
  <si>
    <t>16742</t>
  </si>
  <si>
    <t>FCC1600922</t>
  </si>
  <si>
    <t>20161114010006794</t>
  </si>
  <si>
    <t>FCC1600923</t>
  </si>
  <si>
    <t>161599</t>
  </si>
  <si>
    <t>FCC1600924</t>
  </si>
  <si>
    <t>216411</t>
  </si>
  <si>
    <t>FCC1600928</t>
  </si>
  <si>
    <t>1/2016/9291</t>
  </si>
  <si>
    <t>FCC1600929</t>
  </si>
  <si>
    <t>BORME/2016/5607</t>
  </si>
  <si>
    <t>FCC1600930</t>
  </si>
  <si>
    <t>573352527</t>
  </si>
  <si>
    <t>FCC1600931</t>
  </si>
  <si>
    <t>I-16/86</t>
  </si>
  <si>
    <t>FCC1600932</t>
  </si>
  <si>
    <t>16/A-084</t>
  </si>
  <si>
    <t>FCC1600933</t>
  </si>
  <si>
    <t>2016/69838</t>
  </si>
  <si>
    <t>FCC1600934</t>
  </si>
  <si>
    <t>22387</t>
  </si>
  <si>
    <t>FCC1600935</t>
  </si>
  <si>
    <t>0/0 (060) 0001/348036</t>
  </si>
  <si>
    <t>FCC1600936</t>
  </si>
  <si>
    <t>0/0 (060) 0001/350031</t>
  </si>
  <si>
    <t>FCC1600937</t>
  </si>
  <si>
    <t>0/0 (060) 0001/354105</t>
  </si>
  <si>
    <t>FCC1600938</t>
  </si>
  <si>
    <t>0/0 (060) 0002/349039</t>
  </si>
  <si>
    <t>FCC1600939</t>
  </si>
  <si>
    <t>0/0 (060) 0002/354027</t>
  </si>
  <si>
    <t>FCC1600940</t>
  </si>
  <si>
    <t>0/0 (060) 0004/351035</t>
  </si>
  <si>
    <t>FCC1600941</t>
  </si>
  <si>
    <t>201602794</t>
  </si>
  <si>
    <t>FCC1600942</t>
  </si>
  <si>
    <t>G-13216</t>
  </si>
  <si>
    <t>FCC1600943</t>
  </si>
  <si>
    <t>BE-213</t>
  </si>
  <si>
    <t>FCC1600944</t>
  </si>
  <si>
    <t>83952</t>
  </si>
  <si>
    <t>FCC1600945</t>
  </si>
  <si>
    <t>2016900</t>
  </si>
  <si>
    <t>FCC1600946</t>
  </si>
  <si>
    <t>3975</t>
  </si>
  <si>
    <t>FCC1600947</t>
  </si>
  <si>
    <t>2016/03064</t>
  </si>
  <si>
    <t>FCC1600948</t>
  </si>
  <si>
    <t>S 189</t>
  </si>
  <si>
    <t>FCC1600949</t>
  </si>
  <si>
    <t>S 188</t>
  </si>
  <si>
    <t>FCC1600950</t>
  </si>
  <si>
    <t>S 187</t>
  </si>
  <si>
    <t>FCC1600951</t>
  </si>
  <si>
    <t>18-2016</t>
  </si>
  <si>
    <t>FCC1600953</t>
  </si>
  <si>
    <t>B/32497</t>
  </si>
  <si>
    <t>FCC1600954</t>
  </si>
  <si>
    <t>335</t>
  </si>
  <si>
    <t>FCC1600957</t>
  </si>
  <si>
    <t>A 21877</t>
  </si>
  <si>
    <t>FCC1600958</t>
  </si>
  <si>
    <t>GY/1062/16</t>
  </si>
  <si>
    <t>FCC1600959</t>
  </si>
  <si>
    <t>001331</t>
  </si>
  <si>
    <t>FCC1600960</t>
  </si>
  <si>
    <t>291658187490-4</t>
  </si>
  <si>
    <t>FCC1600961</t>
  </si>
  <si>
    <t>1612C0799452</t>
  </si>
  <si>
    <t>FCC1600965</t>
  </si>
  <si>
    <t>1216087</t>
  </si>
  <si>
    <t>FCC1600966</t>
  </si>
  <si>
    <t>16-000397</t>
  </si>
  <si>
    <t>FCC1600968</t>
  </si>
  <si>
    <t>16429</t>
  </si>
  <si>
    <t>FCC1600969</t>
  </si>
  <si>
    <t>560/16/GIP</t>
  </si>
  <si>
    <t>FCC1600970</t>
  </si>
  <si>
    <t>163498</t>
  </si>
  <si>
    <t>FCC1600981</t>
  </si>
  <si>
    <t>20160706</t>
  </si>
  <si>
    <t>FCC1600987</t>
  </si>
  <si>
    <t>0/0 (060) 0041/350009</t>
  </si>
  <si>
    <t>FCC1600988</t>
  </si>
  <si>
    <t>0/0 (060) 0041/350011</t>
  </si>
  <si>
    <t>FCC1600989</t>
  </si>
  <si>
    <t>0/0 (060) 0041/350013</t>
  </si>
  <si>
    <t>FCC1600990</t>
  </si>
  <si>
    <t>0/0 (060) 0001/355006</t>
  </si>
  <si>
    <t>FCC1600991</t>
  </si>
  <si>
    <t>0/0 (060) 0003/357176</t>
  </si>
  <si>
    <t>FCC1600992</t>
  </si>
  <si>
    <t>0/0 (060) 0002/358224</t>
  </si>
  <si>
    <t>FCC1600993</t>
  </si>
  <si>
    <t>0/0 (060) 0005/361006</t>
  </si>
  <si>
    <t>FCC1600994</t>
  </si>
  <si>
    <t>0/0 (060) 0005/362008</t>
  </si>
  <si>
    <t>FCC1600995</t>
  </si>
  <si>
    <t>0/0 (060) 0001/363030</t>
  </si>
  <si>
    <t>FCC1601006</t>
  </si>
  <si>
    <t>165004PA01539</t>
  </si>
  <si>
    <t>FCC1601013</t>
  </si>
  <si>
    <t>3/160006042</t>
  </si>
  <si>
    <t>FCC1601021</t>
  </si>
  <si>
    <t>20161215010304456</t>
  </si>
  <si>
    <t>FCC1601022</t>
  </si>
  <si>
    <t>20161216010005991</t>
  </si>
  <si>
    <t>FCC1601023</t>
  </si>
  <si>
    <t>20161216010005993</t>
  </si>
  <si>
    <t>FCC1601024</t>
  </si>
  <si>
    <t>20161216010005992</t>
  </si>
  <si>
    <t>FCC1601065</t>
  </si>
  <si>
    <t>16476</t>
  </si>
  <si>
    <t>FCC1601068</t>
  </si>
  <si>
    <t>16449</t>
  </si>
  <si>
    <t>FCC1601081</t>
  </si>
  <si>
    <t>16472</t>
  </si>
  <si>
    <t>FCC1601083</t>
  </si>
  <si>
    <t>2016/03255</t>
  </si>
  <si>
    <t>FCC1601087</t>
  </si>
  <si>
    <t>B/1400857</t>
  </si>
  <si>
    <t>FCC1601089</t>
  </si>
  <si>
    <t>28-K680-760322</t>
  </si>
  <si>
    <t>FCC1601090</t>
  </si>
  <si>
    <t>28-L680-721605</t>
  </si>
  <si>
    <t>FCC1601091</t>
  </si>
  <si>
    <t>TA5E90090837</t>
  </si>
  <si>
    <t>FCC1601092</t>
  </si>
  <si>
    <t>TA5EA0090538</t>
  </si>
  <si>
    <t>FCC1601093</t>
  </si>
  <si>
    <t>01MAZME</t>
  </si>
  <si>
    <t>FCC1601094</t>
  </si>
  <si>
    <t>01MAZMF</t>
  </si>
  <si>
    <t>FCC1601095</t>
  </si>
  <si>
    <t>01MAZMG</t>
  </si>
  <si>
    <t>FCC1601096</t>
  </si>
  <si>
    <t>01MAZMH</t>
  </si>
  <si>
    <t>FCC1601097</t>
  </si>
  <si>
    <t>01MBKNP</t>
  </si>
  <si>
    <t>FCC1601098</t>
  </si>
  <si>
    <t>01MKW7W</t>
  </si>
  <si>
    <t>FCC1601099</t>
  </si>
  <si>
    <t>01MKW7U</t>
  </si>
  <si>
    <t>FCC1601100</t>
  </si>
  <si>
    <t>01MKW7V</t>
  </si>
  <si>
    <t>FCC1601101</t>
  </si>
  <si>
    <t>01MKW7X</t>
  </si>
  <si>
    <t>FCC1601115</t>
  </si>
  <si>
    <t>FLL AWE00436</t>
  </si>
  <si>
    <t>FCC1601116</t>
  </si>
  <si>
    <t>FLL AWE05995</t>
  </si>
  <si>
    <t>FCC1601117</t>
  </si>
  <si>
    <t>01MLB9V</t>
  </si>
  <si>
    <t>FCC1601120</t>
  </si>
  <si>
    <t>20161115010005455</t>
  </si>
  <si>
    <t>FCC1601121</t>
  </si>
  <si>
    <t>20161115010385684</t>
  </si>
  <si>
    <t>FCC1601122</t>
  </si>
  <si>
    <t>20161115010248471</t>
  </si>
  <si>
    <t>FCC1601123</t>
  </si>
  <si>
    <t>20161115010005598</t>
  </si>
  <si>
    <t>FCC1601124</t>
  </si>
  <si>
    <t>20161115010385687</t>
  </si>
  <si>
    <t>FCC1601125</t>
  </si>
  <si>
    <t>20161115010385686</t>
  </si>
  <si>
    <t>FCC1601126</t>
  </si>
  <si>
    <t>20161216010005994</t>
  </si>
  <si>
    <t>FCC1601127</t>
  </si>
  <si>
    <t>20161215010253163</t>
  </si>
  <si>
    <t>FCC1601128</t>
  </si>
  <si>
    <t>20161215010398353</t>
  </si>
  <si>
    <t>FCC1601129</t>
  </si>
  <si>
    <t>20161215010398354</t>
  </si>
  <si>
    <t>FCC1601130</t>
  </si>
  <si>
    <t>20161216010006143</t>
  </si>
  <si>
    <t>FCC1601131</t>
  </si>
  <si>
    <t>20161216010405292</t>
  </si>
  <si>
    <t>FCC1601132</t>
  </si>
  <si>
    <t>3º TRIMESTRE 2016</t>
  </si>
  <si>
    <t>FCC1600764</t>
  </si>
  <si>
    <t>SA 4526</t>
  </si>
  <si>
    <t>FCC1600952</t>
  </si>
  <si>
    <t>7250123138</t>
  </si>
  <si>
    <t>FCC1600955</t>
  </si>
  <si>
    <t>7250123136</t>
  </si>
  <si>
    <t>FCC1600956</t>
  </si>
  <si>
    <t>167651</t>
  </si>
  <si>
    <t>FCC1600982</t>
  </si>
  <si>
    <t>16-S-3395</t>
  </si>
  <si>
    <t>FCC1600983</t>
  </si>
  <si>
    <t>1611/11</t>
  </si>
  <si>
    <t>FCC1600984</t>
  </si>
  <si>
    <t>04/2016</t>
  </si>
  <si>
    <t>FCC1600985</t>
  </si>
  <si>
    <t>161</t>
  </si>
  <si>
    <t>FCC1600986</t>
  </si>
  <si>
    <t>2016196</t>
  </si>
  <si>
    <t>FCC1600996</t>
  </si>
  <si>
    <t>16</t>
  </si>
  <si>
    <t>FCC1600997</t>
  </si>
  <si>
    <t>12</t>
  </si>
  <si>
    <t>FCC1600998</t>
  </si>
  <si>
    <t>20160760</t>
  </si>
  <si>
    <t>FCC1600999</t>
  </si>
  <si>
    <t>20160729</t>
  </si>
  <si>
    <t>FCC1601000</t>
  </si>
  <si>
    <t>20160733</t>
  </si>
  <si>
    <t>FCC1601001</t>
  </si>
  <si>
    <t>20160755</t>
  </si>
  <si>
    <t>FCC1601002</t>
  </si>
  <si>
    <t>20160756</t>
  </si>
  <si>
    <t>FCC1601003</t>
  </si>
  <si>
    <t>20160764</t>
  </si>
  <si>
    <t>FCC1601004</t>
  </si>
  <si>
    <t>1/2016</t>
  </si>
  <si>
    <t>FCC1601005</t>
  </si>
  <si>
    <t>B/787</t>
  </si>
  <si>
    <t>FCC1601007</t>
  </si>
  <si>
    <t>109FB2016452</t>
  </si>
  <si>
    <t>FCC1601008</t>
  </si>
  <si>
    <t>7/2016</t>
  </si>
  <si>
    <t>FCC1601009</t>
  </si>
  <si>
    <t>S201</t>
  </si>
  <si>
    <t>FCC1601010</t>
  </si>
  <si>
    <t>S204</t>
  </si>
  <si>
    <t>FCC1601011</t>
  </si>
  <si>
    <t>S211</t>
  </si>
  <si>
    <t>FCC1601012</t>
  </si>
  <si>
    <t>201646</t>
  </si>
  <si>
    <t>FCC1601014</t>
  </si>
  <si>
    <t>16/A-085</t>
  </si>
  <si>
    <t>FCC1601015</t>
  </si>
  <si>
    <t>123/17</t>
  </si>
  <si>
    <t>FCC1601016</t>
  </si>
  <si>
    <t>BQ6532</t>
  </si>
  <si>
    <t>FCC1601017</t>
  </si>
  <si>
    <t>BQ8519</t>
  </si>
  <si>
    <t>FCC1601020</t>
  </si>
  <si>
    <t>162112/A</t>
  </si>
  <si>
    <t>FCC1601025</t>
  </si>
  <si>
    <t>7250123137</t>
  </si>
  <si>
    <t>FCC1601062</t>
  </si>
  <si>
    <t>10/16</t>
  </si>
  <si>
    <t>FCC1601063</t>
  </si>
  <si>
    <t>11/16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</si>
</sst>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  <numFmt numFmtId="178" formatCode="yyyy/m/d;@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6" borderId="4" applyNumberFormat="0" applyAlignment="0" applyProtection="0"/>
    <xf numFmtId="9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27" borderId="0" applyNumberFormat="0" applyBorder="0" applyAlignment="0" applyProtection="0"/>
    <xf numFmtId="0" fontId="46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7" fillId="28" borderId="7" applyNumberFormat="0" applyAlignment="0" applyProtection="0"/>
    <xf numFmtId="0" fontId="48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73" fontId="17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0" fillId="0" borderId="0" xfId="61" applyNumberFormat="1" applyFont="1">
      <alignment/>
      <protection/>
    </xf>
    <xf numFmtId="4" fontId="0" fillId="0" borderId="0" xfId="61" applyNumberFormat="1" applyFont="1">
      <alignment/>
      <protection/>
    </xf>
    <xf numFmtId="173" fontId="0" fillId="0" borderId="0" xfId="0" applyNumberFormat="1" applyFont="1" applyFill="1" applyAlignment="1">
      <alignment/>
    </xf>
    <xf numFmtId="49" fontId="0" fillId="0" borderId="0" xfId="61" applyNumberFormat="1" applyFont="1">
      <alignment/>
      <protection/>
    </xf>
    <xf numFmtId="49" fontId="0" fillId="0" borderId="0" xfId="61" applyNumberFormat="1" applyFont="1" applyAlignment="1">
      <alignment horizontal="right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4" fontId="37" fillId="0" borderId="0" xfId="58" applyNumberFormat="1">
      <alignment/>
      <protection/>
    </xf>
    <xf numFmtId="49" fontId="37" fillId="0" borderId="0" xfId="58" applyNumberFormat="1" applyFill="1">
      <alignment/>
      <protection/>
    </xf>
    <xf numFmtId="14" fontId="37" fillId="0" borderId="0" xfId="58" applyNumberFormat="1" applyFill="1">
      <alignment/>
      <protection/>
    </xf>
    <xf numFmtId="4" fontId="37" fillId="0" borderId="0" xfId="58" applyNumberFormat="1" applyFill="1">
      <alignment/>
      <protection/>
    </xf>
    <xf numFmtId="173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/>
    </xf>
    <xf numFmtId="0" fontId="12" fillId="44" borderId="48" xfId="0" applyFont="1" applyFill="1" applyBorder="1" applyAlignment="1">
      <alignment horizontal="center"/>
    </xf>
    <xf numFmtId="0" fontId="12" fillId="44" borderId="49" xfId="0" applyFont="1" applyFill="1" applyBorder="1" applyAlignment="1">
      <alignment horizontal="center"/>
    </xf>
    <xf numFmtId="0" fontId="12" fillId="44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5" borderId="60" xfId="0" applyFont="1" applyFill="1" applyBorder="1" applyAlignment="1">
      <alignment horizontal="right"/>
    </xf>
    <xf numFmtId="0" fontId="4" fillId="45" borderId="61" xfId="0" applyFont="1" applyFill="1" applyBorder="1" applyAlignment="1">
      <alignment horizontal="right"/>
    </xf>
    <xf numFmtId="0" fontId="4" fillId="45" borderId="62" xfId="0" applyFont="1" applyFill="1" applyBorder="1" applyAlignment="1">
      <alignment horizontal="right"/>
    </xf>
    <xf numFmtId="0" fontId="4" fillId="45" borderId="63" xfId="0" applyFont="1" applyFill="1" applyBorder="1" applyAlignment="1">
      <alignment horizontal="right"/>
    </xf>
    <xf numFmtId="0" fontId="4" fillId="45" borderId="34" xfId="0" applyFont="1" applyFill="1" applyBorder="1" applyAlignment="1">
      <alignment horizontal="right"/>
    </xf>
    <xf numFmtId="0" fontId="4" fillId="45" borderId="64" xfId="0" applyFont="1" applyFill="1" applyBorder="1" applyAlignment="1">
      <alignment horizontal="right"/>
    </xf>
    <xf numFmtId="0" fontId="4" fillId="38" borderId="65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6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40" borderId="67" xfId="0" applyFont="1" applyFill="1" applyBorder="1" applyAlignment="1">
      <alignment horizontal="left" vertical="top" wrapText="1"/>
    </xf>
    <xf numFmtId="0" fontId="2" fillId="40" borderId="68" xfId="0" applyFont="1" applyFill="1" applyBorder="1" applyAlignment="1">
      <alignment horizontal="left" vertical="top" wrapText="1"/>
    </xf>
    <xf numFmtId="0" fontId="4" fillId="45" borderId="69" xfId="0" applyFont="1" applyFill="1" applyBorder="1" applyAlignment="1">
      <alignment horizontal="right"/>
    </xf>
    <xf numFmtId="0" fontId="4" fillId="45" borderId="70" xfId="0" applyFont="1" applyFill="1" applyBorder="1" applyAlignment="1">
      <alignment horizontal="right"/>
    </xf>
    <xf numFmtId="0" fontId="4" fillId="45" borderId="71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2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45" borderId="76" xfId="0" applyFont="1" applyFill="1" applyBorder="1" applyAlignment="1">
      <alignment horizontal="right"/>
    </xf>
    <xf numFmtId="0" fontId="4" fillId="45" borderId="32" xfId="0" applyFont="1" applyFill="1" applyBorder="1" applyAlignment="1">
      <alignment horizontal="right"/>
    </xf>
    <xf numFmtId="0" fontId="4" fillId="45" borderId="30" xfId="0" applyFont="1" applyFill="1" applyBorder="1" applyAlignment="1">
      <alignment horizontal="right"/>
    </xf>
    <xf numFmtId="49" fontId="54" fillId="0" borderId="0" xfId="58" applyNumberFormat="1" applyFont="1">
      <alignment/>
      <protection/>
    </xf>
    <xf numFmtId="14" fontId="54" fillId="0" borderId="0" xfId="58" applyNumberFormat="1" applyFont="1">
      <alignment/>
      <protection/>
    </xf>
    <xf numFmtId="4" fontId="54" fillId="0" borderId="0" xfId="58" applyNumberFormat="1" applyFont="1">
      <alignment/>
      <protection/>
    </xf>
    <xf numFmtId="49" fontId="36" fillId="0" borderId="0" xfId="60" applyNumberFormat="1" applyFont="1" applyFill="1">
      <alignment/>
      <protection/>
    </xf>
    <xf numFmtId="0" fontId="36" fillId="0" borderId="0" xfId="60" applyFont="1">
      <alignment/>
      <protection/>
    </xf>
    <xf numFmtId="0" fontId="36" fillId="0" borderId="0" xfId="0" applyFont="1" applyAlignment="1">
      <alignment/>
    </xf>
    <xf numFmtId="173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Alignment="1">
      <alignment/>
    </xf>
    <xf numFmtId="173" fontId="36" fillId="0" borderId="0" xfId="0" applyNumberFormat="1" applyFont="1" applyFill="1" applyAlignment="1">
      <alignment/>
    </xf>
    <xf numFmtId="49" fontId="36" fillId="0" borderId="0" xfId="58" applyNumberFormat="1" applyFont="1">
      <alignment/>
      <protection/>
    </xf>
    <xf numFmtId="14" fontId="36" fillId="0" borderId="0" xfId="58" applyNumberFormat="1" applyFont="1">
      <alignment/>
      <protection/>
    </xf>
    <xf numFmtId="4" fontId="36" fillId="0" borderId="0" xfId="58" applyNumberFormat="1" applyFont="1">
      <alignment/>
      <protection/>
    </xf>
    <xf numFmtId="49" fontId="54" fillId="46" borderId="0" xfId="58" applyNumberFormat="1" applyFont="1" applyFill="1">
      <alignment/>
      <protection/>
    </xf>
    <xf numFmtId="14" fontId="54" fillId="46" borderId="0" xfId="58" applyNumberFormat="1" applyFont="1" applyFill="1">
      <alignment/>
      <protection/>
    </xf>
    <xf numFmtId="4" fontId="54" fillId="46" borderId="0" xfId="58" applyNumberFormat="1" applyFont="1" applyFill="1">
      <alignment/>
      <protection/>
    </xf>
    <xf numFmtId="4" fontId="36" fillId="46" borderId="0" xfId="0" applyNumberFormat="1" applyFont="1" applyFill="1" applyAlignment="1">
      <alignment/>
    </xf>
    <xf numFmtId="0" fontId="36" fillId="46" borderId="0" xfId="0" applyFont="1" applyFill="1" applyAlignment="1">
      <alignment/>
    </xf>
    <xf numFmtId="178" fontId="54" fillId="46" borderId="0" xfId="58" applyNumberFormat="1" applyFont="1" applyFill="1">
      <alignment/>
      <protection/>
    </xf>
    <xf numFmtId="1" fontId="36" fillId="46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3" fontId="36" fillId="46" borderId="0" xfId="0" applyNumberFormat="1" applyFont="1" applyFill="1" applyAlignment="1">
      <alignment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22">
      <selection activeCell="D60" sqref="D60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52">
        <f>SUMSQ(D27:I27,D39:F40,D59:I59,D72:F72,D82:F83,E91:H91)</f>
        <v>874058959.9152001</v>
      </c>
      <c r="B1" s="152"/>
    </row>
    <row r="2" spans="1:9" s="42" customFormat="1" ht="15.75" customHeight="1">
      <c r="A2" s="153" t="s">
        <v>67</v>
      </c>
      <c r="B2" s="154"/>
      <c r="C2" s="154"/>
      <c r="D2" s="154"/>
      <c r="E2" s="154"/>
      <c r="F2" s="154"/>
      <c r="G2" s="154"/>
      <c r="H2" s="154"/>
      <c r="I2" s="155"/>
    </row>
    <row r="3" spans="1:9" s="42" customFormat="1" ht="15.75" customHeight="1">
      <c r="A3" s="43"/>
      <c r="B3" s="44"/>
      <c r="C3" s="45" t="s">
        <v>13</v>
      </c>
      <c r="D3" s="156" t="s">
        <v>14</v>
      </c>
      <c r="E3" s="156"/>
      <c r="F3" s="156"/>
      <c r="G3" s="156"/>
      <c r="H3" s="44"/>
      <c r="I3" s="46"/>
    </row>
    <row r="4" spans="1:9" s="42" customFormat="1" ht="15.75" customHeight="1">
      <c r="A4" s="43"/>
      <c r="B4" s="44"/>
      <c r="C4" s="47" t="s">
        <v>68</v>
      </c>
      <c r="D4" s="48">
        <v>2016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69</v>
      </c>
      <c r="D5" s="53" t="s">
        <v>110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15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16</v>
      </c>
    </row>
    <row r="13" spans="1:9" ht="12.75" customHeight="1">
      <c r="A13" s="157" t="s">
        <v>17</v>
      </c>
      <c r="B13" s="158"/>
      <c r="C13" s="159"/>
      <c r="D13" s="163" t="s">
        <v>18</v>
      </c>
      <c r="E13" s="164"/>
      <c r="F13" s="165" t="s">
        <v>22</v>
      </c>
      <c r="G13" s="166"/>
      <c r="H13" s="166"/>
      <c r="I13" s="167"/>
    </row>
    <row r="14" spans="1:9" ht="12.75" customHeight="1">
      <c r="A14" s="160"/>
      <c r="B14" s="161"/>
      <c r="C14" s="162"/>
      <c r="D14" s="168" t="s">
        <v>19</v>
      </c>
      <c r="E14" s="169"/>
      <c r="F14" s="170" t="s">
        <v>23</v>
      </c>
      <c r="G14" s="171"/>
      <c r="H14" s="171" t="s">
        <v>24</v>
      </c>
      <c r="I14" s="172"/>
    </row>
    <row r="15" spans="1:9" ht="22.5">
      <c r="A15" s="160"/>
      <c r="B15" s="161"/>
      <c r="C15" s="162"/>
      <c r="D15" s="63" t="s">
        <v>20</v>
      </c>
      <c r="E15" s="23" t="s">
        <v>21</v>
      </c>
      <c r="F15" s="60" t="s">
        <v>25</v>
      </c>
      <c r="G15" s="22" t="s">
        <v>26</v>
      </c>
      <c r="H15" s="22" t="s">
        <v>25</v>
      </c>
      <c r="I15" s="74" t="s">
        <v>26</v>
      </c>
    </row>
    <row r="16" spans="1:9" ht="12.75" customHeight="1">
      <c r="A16" s="173" t="s">
        <v>27</v>
      </c>
      <c r="B16" s="174"/>
      <c r="C16" s="174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224</v>
      </c>
      <c r="G16" s="24">
        <f>SUM(G17:G21)</f>
        <v>159374.47999999992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28</v>
      </c>
      <c r="D17" s="66">
        <f>IF(F17+H17=0,0,SUMIF(detalle1!S:S,20,detalle1!T:T)/SUMIF(detalle1!S:S,20,detalle1!D:D))</f>
        <v>0</v>
      </c>
      <c r="E17" s="38">
        <f>IF(H17=0,0,SUMIF(detalle1!V:V,220,detalle1!T:T)/SUMIF(detalle1!V:V,220,detalle1!D:D))</f>
        <v>0</v>
      </c>
      <c r="F17" s="39">
        <f>COUNTIF(detalle1!V:V,120)</f>
        <v>4</v>
      </c>
      <c r="G17" s="26">
        <f>SUMIF(detalle1!V:V,120,detalle1!D:D)</f>
        <v>2795.1000000000004</v>
      </c>
      <c r="H17" s="27">
        <f>COUNTIF(detalle1!V:V,220)</f>
        <v>0</v>
      </c>
      <c r="I17" s="85">
        <f>SUMIF(detalle1!V:V,220,detalle1!D:D)</f>
        <v>0</v>
      </c>
    </row>
    <row r="18" spans="1:9" ht="12.75" customHeight="1">
      <c r="A18" s="98"/>
      <c r="B18" s="99" t="s">
        <v>1</v>
      </c>
      <c r="C18" s="19" t="s">
        <v>29</v>
      </c>
      <c r="D18" s="66">
        <f>IF(F18+H18=0,0,SUMIF(detalle1!S:S,21,detalle1!T:T)/SUMIF(detalle1!S:S,21,detalle1!D:D))</f>
        <v>0</v>
      </c>
      <c r="E18" s="38">
        <f>IF(H18=0,0,SUMIF(detalle1!V:V,221,detalle1!T:T)/SUMIF(detalle1!V:V,221,detalle1!D:D))</f>
        <v>0</v>
      </c>
      <c r="F18" s="39">
        <f>COUNTIF(detalle1!V:V,121)</f>
        <v>19</v>
      </c>
      <c r="G18" s="26">
        <f>SUMIF(detalle1!V:V,121,detalle1!D:D)</f>
        <v>5136.7699999999995</v>
      </c>
      <c r="H18" s="27">
        <f>COUNTIF(detalle1!V:V,221)</f>
        <v>0</v>
      </c>
      <c r="I18" s="85">
        <f>SUMIF(detalle1!V:V,221,detalle1!D:D)</f>
        <v>0</v>
      </c>
    </row>
    <row r="19" spans="1:9" ht="12.75" customHeight="1">
      <c r="A19" s="98"/>
      <c r="B19" s="99" t="s">
        <v>2</v>
      </c>
      <c r="C19" s="19" t="s">
        <v>30</v>
      </c>
      <c r="D19" s="66">
        <f>IF(F19+H19=0,0,SUMIF(detalle1!S:S,22,detalle1!T:T)/SUMIF(detalle1!S:S,22,detalle1!D:D))</f>
        <v>0</v>
      </c>
      <c r="E19" s="38">
        <f>IF(H19=0,0,SUMIF(detalle1!V:V,222,detalle1!T:T)/SUMIF(detalle1!V:V,222,detalle1!D:D))</f>
        <v>0</v>
      </c>
      <c r="F19" s="39">
        <f>COUNTIF(detalle1!V:V,122)</f>
        <v>40</v>
      </c>
      <c r="G19" s="26">
        <f>SUMIF(detalle1!V:V,122,detalle1!D:D)</f>
        <v>7529.02</v>
      </c>
      <c r="H19" s="27">
        <f>COUNTIF(detalle1!V:V,222)</f>
        <v>0</v>
      </c>
      <c r="I19" s="85">
        <f>SUMIF(detalle1!V:V,222,detalle1!D:D)</f>
        <v>0</v>
      </c>
    </row>
    <row r="20" spans="1:9" ht="12.75" customHeight="1">
      <c r="A20" s="98"/>
      <c r="B20" s="99" t="s">
        <v>3</v>
      </c>
      <c r="C20" s="19" t="s">
        <v>31</v>
      </c>
      <c r="D20" s="66">
        <f>IF(F20+H20=0,0,SUMIF(detalle1!S:S,23,detalle1!T:T)/SUMIF(detalle1!S:S,23,detalle1!D:D))</f>
        <v>0</v>
      </c>
      <c r="E20" s="38">
        <f>IF(H20=0,0,SUMIF(detalle1!V:V,223,detalle1!T:T)/SUMIF(detalle1!V:V,223,detalle1!D:D))</f>
        <v>0</v>
      </c>
      <c r="F20" s="39">
        <f>COUNTIF(detalle1!V:V,123)</f>
        <v>0</v>
      </c>
      <c r="G20" s="26">
        <f>SUMIF(detalle1!V:V,123,detalle1!D:D)</f>
        <v>0</v>
      </c>
      <c r="H20" s="27">
        <f>COUNTIF(detalle1!V:V,223)</f>
        <v>0</v>
      </c>
      <c r="I20" s="85">
        <f>SUMIF(detalle1!V:V,223,detalle1!D:D)</f>
        <v>0</v>
      </c>
    </row>
    <row r="21" spans="1:9" ht="12.75" customHeight="1">
      <c r="A21" s="98"/>
      <c r="B21" s="99" t="s">
        <v>4</v>
      </c>
      <c r="C21" s="19" t="s">
        <v>32</v>
      </c>
      <c r="D21" s="66">
        <f>IF(F21+H21=0,0,SUMIF(detalle1!S:S,29,detalle1!T:T)/SUMIF(detalle1!S:S,29,detalle1!D:D))</f>
        <v>0</v>
      </c>
      <c r="E21" s="38">
        <f>IF(H21=0,0,SUMIF(detalle1!V:V,229,detalle1!T:T)/SUMIF(detalle1!V:V,229,detalle1!D:D))</f>
        <v>0</v>
      </c>
      <c r="F21" s="39">
        <f>COUNTIF(detalle1!V:V,129)</f>
        <v>161</v>
      </c>
      <c r="G21" s="26">
        <f>SUMIF(detalle1!V:V,129,detalle1!D:D)</f>
        <v>143913.58999999994</v>
      </c>
      <c r="H21" s="27">
        <f>COUNTIF(detalle1!V:V,229)</f>
        <v>0</v>
      </c>
      <c r="I21" s="85">
        <f>SUMIF(detalle1!V:V,229,detalle1!D:D)</f>
        <v>0</v>
      </c>
    </row>
    <row r="22" spans="1:9" ht="12.75" customHeight="1">
      <c r="A22" s="173" t="s">
        <v>33</v>
      </c>
      <c r="B22" s="174"/>
      <c r="C22" s="174"/>
      <c r="D22" s="64">
        <f aca="true" t="shared" si="0" ref="D22:I22">D23</f>
        <v>0</v>
      </c>
      <c r="E22" s="65">
        <f t="shared" si="0"/>
        <v>0</v>
      </c>
      <c r="F22" s="62">
        <f t="shared" si="0"/>
        <v>3</v>
      </c>
      <c r="G22" s="29">
        <f t="shared" si="0"/>
        <v>2775.62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5</v>
      </c>
      <c r="C23" s="101" t="s">
        <v>47</v>
      </c>
      <c r="D23" s="66">
        <f>IF(F23+H23=0,0,SUMIF(detalle1!S:S,69,detalle1!T:T)/SUMIF(detalle1!S:S,69,detalle1!D:D))</f>
        <v>0</v>
      </c>
      <c r="E23" s="38">
        <f>IF(H23=0,0,SUMIF(detalle1!V:V,269,detalle1!T:T)/SUMIF(detalle1!V:V,269,detalle1!D:D))</f>
        <v>0</v>
      </c>
      <c r="F23" s="39">
        <f>COUNTIF(detalle1!V:V,169)</f>
        <v>3</v>
      </c>
      <c r="G23" s="26">
        <f>SUMIF(detalle1!V:V,169,detalle1!D:D)</f>
        <v>2775.62</v>
      </c>
      <c r="H23" s="27">
        <f>COUNTIF(detalle1!V:V,269)</f>
        <v>0</v>
      </c>
      <c r="I23" s="85">
        <f>SUMIF(detalle1!V:V,269,detalle1!D:D)</f>
        <v>0</v>
      </c>
    </row>
    <row r="24" spans="1:9" ht="12.75" customHeight="1">
      <c r="A24" s="173" t="s">
        <v>34</v>
      </c>
      <c r="B24" s="174"/>
      <c r="C24" s="174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75" t="s">
        <v>35</v>
      </c>
      <c r="C25" s="175"/>
      <c r="D25" s="106"/>
      <c r="E25" s="107"/>
      <c r="F25" s="108"/>
      <c r="G25" s="109"/>
      <c r="H25" s="110"/>
      <c r="I25" s="111"/>
    </row>
    <row r="26" spans="1:9" ht="12.75" customHeight="1" thickBot="1">
      <c r="A26" s="176" t="s">
        <v>20</v>
      </c>
      <c r="B26" s="177"/>
      <c r="C26" s="177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227</v>
      </c>
      <c r="G26" s="78">
        <f>G16+G22+G24</f>
        <v>162150.09999999992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7</v>
      </c>
      <c r="C27" s="2" t="s">
        <v>36</v>
      </c>
      <c r="D27" s="72">
        <f>IF(SUM(detalle1!D:D)=0,0,SUM(detalle1!T:T)/SUM(detalle1!D:D))-IF((G16+I16+G22+I22)=0,0,(D16*(G16+I16)+D22*(G22+I22))/(G16+I16+G22+I22))</f>
        <v>0</v>
      </c>
      <c r="E27" s="72">
        <f>IF(SUMIF(detalle1!V:V,"&gt;199",detalle1!D:D)=0,0,SUMIF(detalle1!V:V,"&gt;199",detalle1!T:T)/SUMIF(detalle1!V:V,"&gt;199",detalle1!D:D))-IF(I16+I22=0,0,(E16*I16+E22*I22)/(I16+I22))</f>
        <v>0</v>
      </c>
      <c r="F27" s="72"/>
      <c r="G27" s="72"/>
      <c r="H27" s="72">
        <f>COUNTIF(detalle1!P:P,"&gt;30")-H26+H25</f>
        <v>0</v>
      </c>
      <c r="I27" s="72">
        <f>SUMIF(detalle1!P:P,"&gt;30",detalle1!D:D)-I26+I25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37</v>
      </c>
    </row>
    <row r="31" spans="1:7" ht="12.75" customHeight="1">
      <c r="A31" s="157" t="s">
        <v>38</v>
      </c>
      <c r="B31" s="158"/>
      <c r="C31" s="178"/>
      <c r="D31" s="180" t="s">
        <v>43</v>
      </c>
      <c r="E31" s="181"/>
      <c r="F31" s="181"/>
      <c r="G31" s="182"/>
    </row>
    <row r="32" spans="1:7" ht="12.75" customHeight="1">
      <c r="A32" s="160"/>
      <c r="B32" s="161"/>
      <c r="C32" s="179"/>
      <c r="D32" s="60" t="s">
        <v>44</v>
      </c>
      <c r="E32" s="22" t="s">
        <v>6</v>
      </c>
      <c r="F32" s="22" t="s">
        <v>26</v>
      </c>
      <c r="G32" s="74" t="s">
        <v>6</v>
      </c>
    </row>
    <row r="33" spans="1:7" ht="12.75" customHeight="1">
      <c r="A33" s="98"/>
      <c r="B33" s="183" t="s">
        <v>39</v>
      </c>
      <c r="C33" s="184"/>
      <c r="D33" s="70">
        <f>COUNTIF(detalle1!P:P,"&lt;=30")+F25</f>
        <v>227</v>
      </c>
      <c r="E33" s="32">
        <f>IF($D$38=0,0,D33*100/$D$38)</f>
        <v>100</v>
      </c>
      <c r="F33" s="32">
        <f>SUMIF(detalle1!P:P,"&lt;=30",detalle1!D:D)+G25</f>
        <v>162150.09999999995</v>
      </c>
      <c r="G33" s="112">
        <f>IF($F$38=0,0,F33*100/$F$38)</f>
        <v>100</v>
      </c>
    </row>
    <row r="34" spans="1:7" ht="12.75" customHeight="1">
      <c r="A34" s="98"/>
      <c r="B34" s="185" t="s">
        <v>40</v>
      </c>
      <c r="C34" s="186"/>
      <c r="D34" s="71">
        <f>COUNTIF(detalle1!P:P,"&lt;=40")-D33+F25+IF(AND(E25&gt;30,E25&lt;=40),H25)</f>
        <v>0</v>
      </c>
      <c r="E34" s="26">
        <f>IF($D$38=0,0,D34*100/$D$38)</f>
        <v>0</v>
      </c>
      <c r="F34" s="26">
        <f>SUMIF(detalle1!P:P,"&lt;=40",detalle1!D:D)-F33+G25+IF(AND(E25&gt;30,E25&lt;=40),I25)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41</v>
      </c>
      <c r="C35" s="103"/>
      <c r="D35" s="71">
        <f>COUNTIF(detalle1!P:P,"&lt;=50")-SUM(D33:D34)+F25+IF(E25&lt;=50,H25)</f>
        <v>0</v>
      </c>
      <c r="E35" s="26">
        <f>IF($D$38=0,0,D35*100/$D$38)</f>
        <v>0</v>
      </c>
      <c r="F35" s="26">
        <f>SUMIF(detalle1!P:P,"&lt;=50",detalle1!D:D)-SUM(F33:F34)+G25+IF(E25&lt;=50,I25)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83" t="s">
        <v>40</v>
      </c>
      <c r="C36" s="184"/>
      <c r="D36" s="71">
        <f>COUNTIF(detalle1!P:P,"&lt;=60")-SUM(D33:D35)+F25+IF(E25&lt;=60,H25)</f>
        <v>0</v>
      </c>
      <c r="E36" s="26">
        <f>IF($D$38=0,0,D36*100/$D$38)</f>
        <v>0</v>
      </c>
      <c r="F36" s="26">
        <f>SUMIF(detalle1!P:P,"&lt;=60",detalle1!D:D)-SUM(F33:F35)+G25+IF(E25&lt;=60,I25)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75" t="s">
        <v>42</v>
      </c>
      <c r="C37" s="187"/>
      <c r="D37" s="94">
        <f>COUNTIF(detalle1!P:P,"&gt;60")+IF(E25&gt;60,H25)</f>
        <v>0</v>
      </c>
      <c r="E37" s="26">
        <f>IF($D$38=0,0,D37*100/$D$38)</f>
        <v>0</v>
      </c>
      <c r="F37" s="30">
        <f>SUMIF(detalle1!P:P,"&gt;60",detalle1!D:D)+IF(E25&gt;60,I25)</f>
        <v>0</v>
      </c>
      <c r="G37" s="85">
        <f>IF($F$38=0,0,F37*100/$F$38)</f>
        <v>0</v>
      </c>
    </row>
    <row r="38" spans="1:7" ht="12.75" customHeight="1" thickBot="1">
      <c r="A38" s="188" t="s">
        <v>20</v>
      </c>
      <c r="B38" s="189"/>
      <c r="C38" s="190"/>
      <c r="D38" s="80">
        <f>SUM(D33:D37)</f>
        <v>227</v>
      </c>
      <c r="E38" s="81">
        <f>SUM(E33:E37)</f>
        <v>100</v>
      </c>
      <c r="F38" s="81">
        <f>SUM(F33:F37)</f>
        <v>162150.09999999995</v>
      </c>
      <c r="G38" s="82">
        <f>SUM(G33:G37)</f>
        <v>100</v>
      </c>
    </row>
    <row r="39" spans="1:6" ht="12.75" customHeight="1">
      <c r="A39" s="33"/>
      <c r="B39" s="33"/>
      <c r="C39" s="33"/>
      <c r="D39" s="72"/>
      <c r="E39" s="72"/>
      <c r="F39" s="72"/>
    </row>
    <row r="40" spans="1:6" ht="12.75" customHeight="1">
      <c r="A40" s="33"/>
      <c r="B40" s="33"/>
      <c r="C40" s="33"/>
      <c r="D40" s="72"/>
      <c r="E40" s="72"/>
      <c r="F40" s="72"/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45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57" t="s">
        <v>46</v>
      </c>
      <c r="B45" s="158"/>
      <c r="C45" s="159"/>
      <c r="D45" s="163" t="s">
        <v>18</v>
      </c>
      <c r="E45" s="164"/>
      <c r="F45" s="165" t="s">
        <v>49</v>
      </c>
      <c r="G45" s="166"/>
      <c r="H45" s="166"/>
      <c r="I45" s="167"/>
    </row>
    <row r="46" spans="1:9" ht="12.75" customHeight="1">
      <c r="A46" s="160"/>
      <c r="B46" s="161"/>
      <c r="C46" s="162"/>
      <c r="D46" s="168" t="s">
        <v>19</v>
      </c>
      <c r="E46" s="169"/>
      <c r="F46" s="170" t="s">
        <v>23</v>
      </c>
      <c r="G46" s="171"/>
      <c r="H46" s="171" t="s">
        <v>24</v>
      </c>
      <c r="I46" s="172"/>
    </row>
    <row r="47" spans="1:9" ht="22.5">
      <c r="A47" s="160"/>
      <c r="B47" s="161"/>
      <c r="C47" s="162"/>
      <c r="D47" s="63" t="s">
        <v>20</v>
      </c>
      <c r="E47" s="23" t="s">
        <v>21</v>
      </c>
      <c r="F47" s="60" t="s">
        <v>50</v>
      </c>
      <c r="G47" s="22" t="s">
        <v>26</v>
      </c>
      <c r="H47" s="22" t="str">
        <f>+F47</f>
        <v>Número de operaciones</v>
      </c>
      <c r="I47" s="74" t="str">
        <f>+G47</f>
        <v>Importe total</v>
      </c>
    </row>
    <row r="48" spans="1:9" ht="12.75" customHeight="1">
      <c r="A48" s="194" t="s">
        <v>27</v>
      </c>
      <c r="B48" s="195"/>
      <c r="C48" s="196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tr">
        <f>+C17</f>
        <v>Arrendamientos y cánones</v>
      </c>
      <c r="D49" s="66">
        <f>IF(F49+H49=0,0,SUMIF(detalle2!S:S,20,detalle2!T:T)/SUMIF(detalle2!S:S,20,detalle2!D:D))</f>
        <v>0</v>
      </c>
      <c r="E49" s="38">
        <f>IF(H49=0,0,SUMIF(detalle2!V:V,220,detalle2!T:T)/SUMIF(detalle2!V:V,220,detalle2!D:D))</f>
        <v>0</v>
      </c>
      <c r="F49" s="39">
        <f>COUNTIF(detalle2!V:V,120)</f>
        <v>0</v>
      </c>
      <c r="G49" s="26">
        <f>SUMIF(detalle2!V:V,120,detalle2!D:D)</f>
        <v>0</v>
      </c>
      <c r="H49" s="27">
        <f>COUNTIF(detalle2!V:V,220)</f>
        <v>0</v>
      </c>
      <c r="I49" s="85">
        <f>SUMIF(detalle2!V:V,220,detalle2!D:D)</f>
        <v>0</v>
      </c>
    </row>
    <row r="50" spans="1:9" ht="12.75" customHeight="1">
      <c r="A50" s="98"/>
      <c r="B50" s="99" t="s">
        <v>1</v>
      </c>
      <c r="C50" s="19" t="str">
        <f>+C18</f>
        <v>Reparaciones, mantenimiento y conservación</v>
      </c>
      <c r="D50" s="66">
        <f>IF(F50+H50=0,0,SUMIF(detalle2!S:S,21,detalle2!T:T)/SUMIF(detalle2!S:S,21,detalle2!D:D))</f>
        <v>0</v>
      </c>
      <c r="E50" s="38">
        <f>IF(H50=0,0,SUMIF(detalle2!V:V,221,detalle2!T:T)/SUMIF(detalle2!V:V,221,detalle2!D:D))</f>
        <v>0</v>
      </c>
      <c r="F50" s="39">
        <f>COUNTIF(detalle2!V:V,121)</f>
        <v>0</v>
      </c>
      <c r="G50" s="26">
        <f>SUMIF(detalle2!V:V,121,detalle2!D:D)</f>
        <v>0</v>
      </c>
      <c r="H50" s="27">
        <f>COUNTIF(detalle2!V:V,221)</f>
        <v>0</v>
      </c>
      <c r="I50" s="85">
        <f>SUMIF(detalle2!V:V,221,detalle2!D:D)</f>
        <v>0</v>
      </c>
    </row>
    <row r="51" spans="1:9" ht="12.75" customHeight="1">
      <c r="A51" s="98"/>
      <c r="B51" s="99" t="s">
        <v>2</v>
      </c>
      <c r="C51" s="19" t="str">
        <f>+C19</f>
        <v>Material, suministros y otros</v>
      </c>
      <c r="D51" s="66">
        <f>IF(F51+H51=0,0,SUMIF(detalle2!S:S,22,detalle2!T:T)/SUMIF(detalle2!S:S,22,detalle2!D:D))</f>
        <v>0</v>
      </c>
      <c r="E51" s="38">
        <f>IF(H51=0,0,SUMIF(detalle2!V:V,222,detalle2!T:T)/SUMIF(detalle2!V:V,222,detalle2!D:D))</f>
        <v>0</v>
      </c>
      <c r="F51" s="39">
        <f>COUNTIF(detalle2!V:V,122)</f>
        <v>0</v>
      </c>
      <c r="G51" s="26">
        <f>SUMIF(detalle2!V:V,122,detalle2!D:D)</f>
        <v>0</v>
      </c>
      <c r="H51" s="27">
        <f>COUNTIF(detalle2!V:V,222)</f>
        <v>0</v>
      </c>
      <c r="I51" s="85">
        <f>SUMIF(detalle2!V:V,222,detalle2!D:D)</f>
        <v>0</v>
      </c>
    </row>
    <row r="52" spans="1:9" ht="12.75" customHeight="1">
      <c r="A52" s="98"/>
      <c r="B52" s="99" t="s">
        <v>3</v>
      </c>
      <c r="C52" s="19" t="str">
        <f>+C20</f>
        <v>Indemnizaciones por razón del servicio</v>
      </c>
      <c r="D52" s="66">
        <f>IF(F52+H52=0,0,SUMIF(detalle2!S:S,23,detalle2!T:T)/SUMIF(detalle2!S:S,23,detalle2!D:D))</f>
        <v>0</v>
      </c>
      <c r="E52" s="38">
        <f>IF(H52=0,0,SUMIF(detalle2!V:V,223,detalle2!T:T)/SUMIF(detalle2!V:V,223,detalle2!D:D))</f>
        <v>0</v>
      </c>
      <c r="F52" s="39">
        <f>COUNTIF(detalle2!V:V,123)</f>
        <v>0</v>
      </c>
      <c r="G52" s="26">
        <f>SUMIF(detalle2!V:V,123,detalle2!D:D)</f>
        <v>0</v>
      </c>
      <c r="H52" s="27">
        <f>COUNTIF(detalle2!V:V,223)</f>
        <v>0</v>
      </c>
      <c r="I52" s="85">
        <f>SUMIF(detalle2!V:V,223,detalle2!D:D)</f>
        <v>0</v>
      </c>
    </row>
    <row r="53" spans="1:9" ht="12.75" customHeight="1">
      <c r="A53" s="98"/>
      <c r="B53" s="99" t="s">
        <v>12</v>
      </c>
      <c r="C53" s="19" t="str">
        <f>+C21</f>
        <v>Otros</v>
      </c>
      <c r="D53" s="66">
        <f>IF(F53+H53=0,0,SUMIF(detalle2!S:S,29,detalle2!T:T)/SUMIF(detalle2!S:S,29,detalle2!D:D))</f>
        <v>0</v>
      </c>
      <c r="E53" s="38">
        <f>IF(H53=0,0,SUMIF(detalle2!V:V,229,detalle2!T:T)/SUMIF(detalle2!V:V,229,detalle2!D:D))</f>
        <v>0</v>
      </c>
      <c r="F53" s="39">
        <f>COUNTIF(detalle2!V:V,129)</f>
        <v>0</v>
      </c>
      <c r="G53" s="26">
        <f>SUMIF(detalle2!V:V,129,detalle2!D:D)</f>
        <v>0</v>
      </c>
      <c r="H53" s="27">
        <f>COUNTIF(detalle2!V:V,229)</f>
        <v>0</v>
      </c>
      <c r="I53" s="85">
        <f>SUMIF(detalle2!V:V,229,detalle2!D:D)</f>
        <v>0</v>
      </c>
    </row>
    <row r="54" spans="1:9" ht="12.75" customHeight="1">
      <c r="A54" s="173" t="s">
        <v>47</v>
      </c>
      <c r="B54" s="174"/>
      <c r="C54" s="174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tr">
        <f>+C23</f>
        <v>Inversiones reales</v>
      </c>
      <c r="D55" s="66">
        <f>IF(F55+H55=0,0,SUMIF(detalle2!S:S,69,detalle2!T:T)/SUMIF(detalle2!S:S,69,detalle2!D:D))</f>
        <v>0</v>
      </c>
      <c r="E55" s="38">
        <f>IF(H55=0,0,SUMIF(detalle2!V:V,269,detalle2!T:T)/SUMIF(detalle2!V:V,269,detalle2!D:D))</f>
        <v>0</v>
      </c>
      <c r="F55" s="39">
        <f>COUNTIF(detalle2!V:V,169)</f>
        <v>0</v>
      </c>
      <c r="G55" s="26">
        <f>SUMIF(detalle2!V:V,169,detalle2!D:D)</f>
        <v>0</v>
      </c>
      <c r="H55" s="27">
        <f>COUNTIF(detalle2!V:V,269)</f>
        <v>0</v>
      </c>
      <c r="I55" s="85">
        <f>SUMIF(detalle2!V:V,269,detalle2!D:D)</f>
        <v>0</v>
      </c>
    </row>
    <row r="56" spans="1:9" ht="12.75" customHeight="1">
      <c r="A56" s="197" t="str">
        <f>+A24</f>
        <v>Pagos pendientes de aplicar al presupuesto*</v>
      </c>
      <c r="B56" s="198"/>
      <c r="C56" s="199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00" t="str">
        <f>+B25</f>
        <v>Pagos pendientes de aplicar al presupuesto</v>
      </c>
      <c r="C57" s="201"/>
      <c r="D57" s="106"/>
      <c r="E57" s="107"/>
      <c r="F57" s="108"/>
      <c r="G57" s="109"/>
      <c r="H57" s="110"/>
      <c r="I57" s="111"/>
    </row>
    <row r="58" spans="1:9" ht="12.75" customHeight="1" thickBot="1">
      <c r="A58" s="191" t="str">
        <f>+A26</f>
        <v>Total</v>
      </c>
      <c r="B58" s="192"/>
      <c r="C58" s="193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48</v>
      </c>
      <c r="D59" s="72">
        <f>IF(SUM(detalle2!D:D)=0,0,SUM(detalle2!T:T)/SUM(detalle2!D:D))-IF((G48+I48+G54+I54)=0,0,(D48*(G48+I48)+D54*(G54+I54))/(G48+I48+G54+I54))</f>
        <v>0</v>
      </c>
      <c r="E59" s="72">
        <f>IF(SUMIF(detalle2!V:V,"&gt;199",detalle2!D:D)=0,0,SUMIF(detalle2!V:V,"&gt;199",detalle2!T:T)/SUMIF(detalle2!V:V,"&gt;199",detalle2!D:D))-IF(I48+I54=0,0,(E48*I48+E54*I54)/(I48+I54))</f>
        <v>0</v>
      </c>
      <c r="F59" s="72">
        <f>COUNTIF(detalle2!P:P,"&lt;=30")-F58+F57</f>
        <v>0</v>
      </c>
      <c r="G59" s="72">
        <f>SUMIF(detalle2!P:P,"&lt;=30",detalle2!D:D)-G58+G57</f>
        <v>0</v>
      </c>
      <c r="H59" s="72">
        <f>COUNTIF(detalle2!P:P,"&gt;30")-H58+H57</f>
        <v>0</v>
      </c>
      <c r="I59" s="72">
        <f>SUMIF(detalle2!P:P,"&gt;30",detalle2!D:D)-I58+I57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51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52</v>
      </c>
    </row>
    <row r="67" spans="1:7" ht="33.75">
      <c r="A67" s="157" t="s">
        <v>53</v>
      </c>
      <c r="B67" s="158"/>
      <c r="C67" s="178"/>
      <c r="D67" s="83" t="s">
        <v>54</v>
      </c>
      <c r="E67" s="73" t="s">
        <v>55</v>
      </c>
      <c r="F67" s="84" t="s">
        <v>26</v>
      </c>
      <c r="G67" s="36"/>
    </row>
    <row r="68" spans="1:6" ht="12.75" customHeight="1">
      <c r="A68" s="105"/>
      <c r="B68" s="215" t="s">
        <v>96</v>
      </c>
      <c r="C68" s="216"/>
      <c r="D68" s="67">
        <f>IF(E68=0,0,SUMIF(detalle32!T:T,22,detalle32!R:R)/SUMIF(detalle32!T:T,22,detalle32!D:D))</f>
        <v>0</v>
      </c>
      <c r="E68" s="37">
        <f>COUNTIF(detalle32!T:T,22)</f>
        <v>0</v>
      </c>
      <c r="F68" s="85">
        <f>SUMIF(detalle32!T:T,22,detalle32!D:D)</f>
        <v>0</v>
      </c>
    </row>
    <row r="69" spans="1:6" ht="12.75" customHeight="1">
      <c r="A69" s="98"/>
      <c r="B69" s="185" t="s">
        <v>47</v>
      </c>
      <c r="C69" s="186"/>
      <c r="D69" s="67">
        <f>IF(E69=0,0,SUMIF(detalle32!T:T,26,detalle32!R:R)/SUMIF(detalle32!T:T,26,detalle32!D:D))</f>
        <v>0</v>
      </c>
      <c r="E69" s="37">
        <f>COUNTIF(detalle32!T:T,26)</f>
        <v>0</v>
      </c>
      <c r="F69" s="85">
        <f>SUMIF(detalle32!T:T,26,detalle32!D:D)</f>
        <v>0</v>
      </c>
    </row>
    <row r="70" spans="1:6" ht="12.75" customHeight="1">
      <c r="A70" s="104"/>
      <c r="B70" s="175" t="s">
        <v>97</v>
      </c>
      <c r="C70" s="187"/>
      <c r="D70" s="67">
        <f>IF(E70=0,0,SUMIF(detalle32!T:T,29,detalle32!R:R)/SUMIF(detalle32!T:T,29,detalle32!D:D))</f>
        <v>0</v>
      </c>
      <c r="E70" s="37">
        <f>COUNTIF(detalle32!T:T,29)</f>
        <v>0</v>
      </c>
      <c r="F70" s="85">
        <f>SUMIF(detalle32!T:T,29,detalle32!D:D)</f>
        <v>0</v>
      </c>
    </row>
    <row r="71" spans="1:6" ht="12.75" customHeight="1" thickBot="1">
      <c r="A71" s="222" t="s">
        <v>20</v>
      </c>
      <c r="B71" s="223"/>
      <c r="C71" s="224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IF(D73=0,0,(SUMIF(detalle32!O:O,"&gt;90",detalle32!R:R)/SUMIF(detalle32!O:O,"&gt;90",detalle32!D:D)))-IF(D71="",0,D71)</f>
        <v>0</v>
      </c>
      <c r="E72" s="72">
        <f>COUNTIF(detalle32!O:O,"&gt;90")-E71</f>
        <v>0</v>
      </c>
      <c r="F72" s="72">
        <f>SUMIF(detalle32!O:O,"&gt;90",detalle32!D:D)-F71</f>
        <v>0</v>
      </c>
    </row>
    <row r="73" spans="4:6" ht="12.75" customHeight="1">
      <c r="D73" s="113">
        <f>SUMIF(detalle32!O:O,"&gt;90",detalle32!D:D)</f>
        <v>0</v>
      </c>
      <c r="E73" s="34"/>
      <c r="F73" s="34"/>
    </row>
    <row r="74" s="18" customFormat="1" ht="13.5" thickBot="1">
      <c r="A74" s="1" t="s">
        <v>56</v>
      </c>
    </row>
    <row r="75" spans="1:7" ht="12.75" customHeight="1">
      <c r="A75" s="157" t="s">
        <v>57</v>
      </c>
      <c r="B75" s="158"/>
      <c r="C75" s="178"/>
      <c r="D75" s="180" t="s">
        <v>58</v>
      </c>
      <c r="E75" s="181"/>
      <c r="F75" s="181"/>
      <c r="G75" s="182"/>
    </row>
    <row r="76" spans="1:7" ht="12.75" customHeight="1">
      <c r="A76" s="160"/>
      <c r="B76" s="161"/>
      <c r="C76" s="179"/>
      <c r="D76" s="60" t="s">
        <v>44</v>
      </c>
      <c r="E76" s="22" t="s">
        <v>6</v>
      </c>
      <c r="F76" s="22" t="s">
        <v>26</v>
      </c>
      <c r="G76" s="74" t="s">
        <v>6</v>
      </c>
    </row>
    <row r="77" spans="1:7" ht="12.75" customHeight="1">
      <c r="A77" s="105"/>
      <c r="B77" s="215" t="s">
        <v>39</v>
      </c>
      <c r="C77" s="216"/>
      <c r="D77" s="39">
        <f>COUNTIF(detalle32!O:O,"&lt;=30")</f>
        <v>3</v>
      </c>
      <c r="E77" s="40">
        <f>IF($D$81=0,0,D77*100/$D$81)</f>
        <v>75</v>
      </c>
      <c r="F77" s="26">
        <f>SUMIF(detalle32!O:O,"&lt;=30",detalle32!D:D)</f>
        <v>338.15999999999997</v>
      </c>
      <c r="G77" s="88">
        <f>IF($F$81=0,0,F77*100/$F$81)</f>
        <v>41.080713348559215</v>
      </c>
    </row>
    <row r="78" spans="1:7" ht="12.75" customHeight="1">
      <c r="A78" s="98"/>
      <c r="B78" s="185" t="s">
        <v>98</v>
      </c>
      <c r="C78" s="186"/>
      <c r="D78" s="39">
        <f>COUNTIF(detalle32!O:O,"&lt;=60")-D77</f>
        <v>1</v>
      </c>
      <c r="E78" s="40">
        <f>IF($D$81=0,0,D78*100/$D$81)</f>
        <v>25</v>
      </c>
      <c r="F78" s="26">
        <f>SUMIF(detalle32!O:O,"&lt;=60",detalle32!D:D)-F77</f>
        <v>485</v>
      </c>
      <c r="G78" s="88">
        <f>IF($F$81=0,0,F78*100/$F$81)</f>
        <v>58.91928665144079</v>
      </c>
    </row>
    <row r="79" spans="1:7" ht="12.75" customHeight="1">
      <c r="A79" s="98"/>
      <c r="B79" s="183" t="s">
        <v>99</v>
      </c>
      <c r="C79" s="184"/>
      <c r="D79" s="39">
        <f>COUNTIF(detalle32!O:O,"&lt;=90")-SUM(D77:D78)</f>
        <v>0</v>
      </c>
      <c r="E79" s="40">
        <f>IF($D$81=0,0,D79*100/$D$81)</f>
        <v>0</v>
      </c>
      <c r="F79" s="26">
        <f>SUMIF(detalle32!O:O,"&lt;=90",detalle32!D:D)-SUM(F77:F78)</f>
        <v>0</v>
      </c>
      <c r="G79" s="88">
        <f>IF($F$81=0,0,F79*100/$F$81)</f>
        <v>0</v>
      </c>
    </row>
    <row r="80" spans="1:7" ht="12.75" customHeight="1">
      <c r="A80" s="98"/>
      <c r="B80" s="183" t="s">
        <v>100</v>
      </c>
      <c r="C80" s="184"/>
      <c r="D80" s="39">
        <f>COUNTIF(detalle32!O:O,"&gt;90")</f>
        <v>0</v>
      </c>
      <c r="E80" s="40">
        <f>IF($D$81=0,0,D80*100/$D$81)</f>
        <v>0</v>
      </c>
      <c r="F80" s="26">
        <f>SUMIF(detalle32!O:O,"&gt;90",detalle32!D:D)</f>
        <v>0</v>
      </c>
      <c r="G80" s="88">
        <f>IF($F$81=0,0,F80*100/$F$81)</f>
        <v>0</v>
      </c>
    </row>
    <row r="81" spans="1:7" ht="12.75" customHeight="1" thickBot="1">
      <c r="A81" s="204" t="s">
        <v>20</v>
      </c>
      <c r="B81" s="205"/>
      <c r="C81" s="206"/>
      <c r="D81" s="77">
        <f>SUM(D77:D80)</f>
        <v>4</v>
      </c>
      <c r="E81" s="89">
        <f>SUM(E77:E80)</f>
        <v>100</v>
      </c>
      <c r="F81" s="78">
        <f>SUM(F77:F80)</f>
        <v>823.16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COUNT(detalle32!D:D)-D81</f>
        <v>29</v>
      </c>
      <c r="E82" s="72"/>
      <c r="F82" s="72">
        <f>SUM(detalle32!D:D)-F81</f>
        <v>20905.24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59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07" t="s">
        <v>60</v>
      </c>
      <c r="B88" s="208"/>
      <c r="C88" s="209"/>
      <c r="D88" s="213" t="s">
        <v>61</v>
      </c>
      <c r="E88" s="214"/>
      <c r="F88" s="213" t="s">
        <v>64</v>
      </c>
      <c r="G88" s="214"/>
      <c r="H88" s="217" t="s">
        <v>65</v>
      </c>
    </row>
    <row r="89" spans="1:8" ht="12.75" customHeight="1">
      <c r="A89" s="210"/>
      <c r="B89" s="211"/>
      <c r="C89" s="212"/>
      <c r="D89" s="68" t="s">
        <v>62</v>
      </c>
      <c r="E89" s="69" t="s">
        <v>63</v>
      </c>
      <c r="F89" s="68" t="str">
        <f>+D89</f>
        <v>Ratio</v>
      </c>
      <c r="G89" s="69" t="str">
        <f>+E89</f>
        <v>Importe</v>
      </c>
      <c r="H89" s="218"/>
    </row>
    <row r="90" spans="1:8" ht="12.75" customHeight="1" thickBot="1">
      <c r="A90" s="219" t="str">
        <f>D3</f>
        <v>OARSOALDEA</v>
      </c>
      <c r="B90" s="220"/>
      <c r="C90" s="221"/>
      <c r="D90" s="91">
        <f>IF((SUM(detalle1!D:D)+G24+I24)=0,0,(SUM(detalle1!U:U)+D24*(G24+I24))/(SUM(detalle1!D:D)+G24+I24))</f>
        <v>-27.864384912497755</v>
      </c>
      <c r="E90" s="92">
        <f>SUM(detalle1!D:D)+G24+I24</f>
        <v>162150.09999999995</v>
      </c>
      <c r="F90" s="91">
        <f>IF((SUM(detalle2!D:D)+SUM(detalle32!D:D)+G56+I56)=0,0,(SUM(detalle2!U:U)+SUM(detalle32!S:S)+D56*(G56+I56))/(SUM(detalle2!D:D)+SUM(detalle32!D:D)+G56+I56))</f>
        <v>0.30492258979032044</v>
      </c>
      <c r="G90" s="92">
        <f>SUM(detalle2!D:D)+SUM(detalle32!D:D)+G56+I56</f>
        <v>21728.4</v>
      </c>
      <c r="H90" s="93">
        <f>IF(E90=0,F90,IF(G90=0,D90,(D90*E90+F90*G90)/(E90+G90)))</f>
        <v>-24.535697865710247</v>
      </c>
    </row>
    <row r="91" spans="4:8" ht="12.75" customHeight="1">
      <c r="D91" s="31"/>
      <c r="E91" s="72"/>
      <c r="F91" s="72"/>
      <c r="G91" s="72">
        <f>G90-G58-I58-F81</f>
        <v>20905.24</v>
      </c>
      <c r="H91" s="72"/>
    </row>
    <row r="92" spans="1:8" ht="12.75" customHeight="1" thickBot="1">
      <c r="A92" s="4" t="s">
        <v>66</v>
      </c>
      <c r="E92" s="34"/>
      <c r="F92" s="34"/>
      <c r="G92" s="34"/>
      <c r="H92" s="114">
        <f>(SUM(detalle1!D:D)+SUM(detalle2!D:D)+SUM(detalle32!D:D)+G24+I24+G56+I56)</f>
        <v>183878.49999999994</v>
      </c>
    </row>
    <row r="93" spans="2:8" ht="43.5" customHeight="1" thickBot="1">
      <c r="B93" s="202"/>
      <c r="C93" s="203"/>
      <c r="E93" s="34"/>
      <c r="F93" s="34"/>
      <c r="G93" s="34"/>
      <c r="H93" s="34"/>
    </row>
  </sheetData>
  <sheetProtection/>
  <mergeCells count="50">
    <mergeCell ref="H88:H89"/>
    <mergeCell ref="A90:C90"/>
    <mergeCell ref="D88:E88"/>
    <mergeCell ref="B68:C68"/>
    <mergeCell ref="B69:C69"/>
    <mergeCell ref="B70:C70"/>
    <mergeCell ref="A71:C71"/>
    <mergeCell ref="B93:C93"/>
    <mergeCell ref="A81:C81"/>
    <mergeCell ref="A88:C89"/>
    <mergeCell ref="A75:C76"/>
    <mergeCell ref="D75:G75"/>
    <mergeCell ref="F88:G88"/>
    <mergeCell ref="B77:C77"/>
    <mergeCell ref="B78:C78"/>
    <mergeCell ref="B79:C79"/>
    <mergeCell ref="B80:C80"/>
    <mergeCell ref="A58:C58"/>
    <mergeCell ref="A67:C67"/>
    <mergeCell ref="A45:C47"/>
    <mergeCell ref="D45:E45"/>
    <mergeCell ref="A48:C48"/>
    <mergeCell ref="A54:C54"/>
    <mergeCell ref="A56:C56"/>
    <mergeCell ref="B57:C57"/>
    <mergeCell ref="D31:G31"/>
    <mergeCell ref="B33:C33"/>
    <mergeCell ref="B34:C34"/>
    <mergeCell ref="B36:C36"/>
    <mergeCell ref="F45:I45"/>
    <mergeCell ref="D46:E46"/>
    <mergeCell ref="F46:G46"/>
    <mergeCell ref="H46:I4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232"/>
  <sheetViews>
    <sheetView zoomScalePageLayoutView="0" workbookViewId="0" topLeftCell="G1">
      <selection activeCell="K29" sqref="K29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5.28125" style="128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7109375" style="14" bestFit="1" customWidth="1"/>
    <col min="15" max="15" width="8.57421875" style="137" bestFit="1" customWidth="1"/>
    <col min="16" max="17" width="8.57421875" style="137" customWidth="1"/>
    <col min="18" max="18" width="6.7109375" style="9" customWidth="1"/>
    <col min="19" max="19" width="8.421875" style="2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90</v>
      </c>
      <c r="G2" s="131"/>
    </row>
    <row r="3" spans="1:19" ht="11.25">
      <c r="A3" s="3" t="s">
        <v>91</v>
      </c>
      <c r="B3" s="16"/>
      <c r="C3" s="129"/>
      <c r="D3" s="127" t="s">
        <v>92</v>
      </c>
      <c r="E3" s="4"/>
      <c r="F3" s="4"/>
      <c r="G3" s="4"/>
      <c r="H3" s="4"/>
      <c r="I3" s="4"/>
      <c r="J3" s="4"/>
      <c r="R3" s="9" t="s">
        <v>111</v>
      </c>
      <c r="S3" s="138">
        <v>42735</v>
      </c>
    </row>
    <row r="4" spans="13:14" ht="11.25">
      <c r="M4" s="14" t="s">
        <v>93</v>
      </c>
      <c r="N4" s="14" t="s">
        <v>94</v>
      </c>
    </row>
    <row r="5" spans="1:22" ht="22.5">
      <c r="A5" s="5" t="s">
        <v>101</v>
      </c>
      <c r="B5" s="17" t="s">
        <v>103</v>
      </c>
      <c r="C5" s="130" t="s">
        <v>70</v>
      </c>
      <c r="D5" s="116" t="s">
        <v>63</v>
      </c>
      <c r="E5" s="5" t="s">
        <v>104</v>
      </c>
      <c r="F5" s="125" t="s">
        <v>71</v>
      </c>
      <c r="G5" s="125" t="s">
        <v>72</v>
      </c>
      <c r="H5" s="6" t="s">
        <v>9</v>
      </c>
      <c r="I5" s="6" t="s">
        <v>10</v>
      </c>
      <c r="J5" s="6" t="s">
        <v>8</v>
      </c>
      <c r="K5" s="117" t="s">
        <v>105</v>
      </c>
      <c r="L5" s="15" t="s">
        <v>106</v>
      </c>
      <c r="M5" s="117" t="s">
        <v>73</v>
      </c>
      <c r="N5" s="117" t="s">
        <v>74</v>
      </c>
      <c r="O5" s="10" t="s">
        <v>107</v>
      </c>
      <c r="P5" s="11" t="s">
        <v>108</v>
      </c>
      <c r="Q5" s="12" t="s">
        <v>109</v>
      </c>
      <c r="R5" s="13" t="s">
        <v>65</v>
      </c>
      <c r="S5" s="132" t="s">
        <v>75</v>
      </c>
      <c r="T5" s="8" t="s">
        <v>76</v>
      </c>
      <c r="U5" s="8" t="s">
        <v>77</v>
      </c>
      <c r="V5" s="134" t="s">
        <v>78</v>
      </c>
    </row>
    <row r="6" spans="1:22" s="230" customFormat="1" ht="15">
      <c r="A6" s="225" t="s">
        <v>112</v>
      </c>
      <c r="B6" s="226">
        <v>42644</v>
      </c>
      <c r="C6" s="225" t="s">
        <v>113</v>
      </c>
      <c r="D6" s="227">
        <v>54.68</v>
      </c>
      <c r="E6" s="228"/>
      <c r="F6" s="229"/>
      <c r="K6" s="146">
        <v>42646</v>
      </c>
      <c r="L6" s="231"/>
      <c r="M6" s="146">
        <v>42646</v>
      </c>
      <c r="N6" s="146">
        <v>42646</v>
      </c>
      <c r="O6" s="232">
        <f>+M6-K6</f>
        <v>0</v>
      </c>
      <c r="P6" s="232">
        <f>+N6-M6</f>
        <v>0</v>
      </c>
      <c r="Q6" s="232">
        <f>+N6-K6</f>
        <v>0</v>
      </c>
      <c r="R6" s="232">
        <f>+Q6-30</f>
        <v>-30</v>
      </c>
      <c r="S6" s="233">
        <v>21</v>
      </c>
      <c r="T6" s="234">
        <f>+P6*D6</f>
        <v>0</v>
      </c>
      <c r="U6" s="234">
        <f>+R6*D6</f>
        <v>-1640.4</v>
      </c>
      <c r="V6" s="233">
        <f>IF(P6&gt;30,200+S6,100+S6)</f>
        <v>121</v>
      </c>
    </row>
    <row r="7" spans="1:22" s="230" customFormat="1" ht="15">
      <c r="A7" s="225" t="s">
        <v>114</v>
      </c>
      <c r="B7" s="226">
        <v>42644</v>
      </c>
      <c r="C7" s="225" t="s">
        <v>115</v>
      </c>
      <c r="D7" s="227">
        <v>137.64</v>
      </c>
      <c r="E7" s="228"/>
      <c r="F7" s="229"/>
      <c r="K7" s="146">
        <v>42646</v>
      </c>
      <c r="L7" s="231"/>
      <c r="M7" s="146">
        <v>42646</v>
      </c>
      <c r="N7" s="146">
        <v>42646</v>
      </c>
      <c r="O7" s="232">
        <f aca="true" t="shared" si="0" ref="O7:O70">+M7-K7</f>
        <v>0</v>
      </c>
      <c r="P7" s="232">
        <f aca="true" t="shared" si="1" ref="P7:P70">+N7-M7</f>
        <v>0</v>
      </c>
      <c r="Q7" s="232">
        <f aca="true" t="shared" si="2" ref="Q7:Q70">+N7-K7</f>
        <v>0</v>
      </c>
      <c r="R7" s="232">
        <f aca="true" t="shared" si="3" ref="R7:R70">+Q7-30</f>
        <v>-30</v>
      </c>
      <c r="S7" s="233">
        <v>29</v>
      </c>
      <c r="T7" s="234">
        <f aca="true" t="shared" si="4" ref="T7:T70">+P7*D7</f>
        <v>0</v>
      </c>
      <c r="U7" s="234">
        <f aca="true" t="shared" si="5" ref="U7:U70">+R7*D7</f>
        <v>-4129.2</v>
      </c>
      <c r="V7" s="233">
        <f aca="true" t="shared" si="6" ref="V7:V70">IF(P7&gt;30,200+S7,100+S7)</f>
        <v>129</v>
      </c>
    </row>
    <row r="8" spans="1:22" s="230" customFormat="1" ht="15">
      <c r="A8" s="225" t="s">
        <v>116</v>
      </c>
      <c r="B8" s="226">
        <v>42644</v>
      </c>
      <c r="C8" s="225" t="s">
        <v>117</v>
      </c>
      <c r="D8" s="227">
        <v>217.8</v>
      </c>
      <c r="E8" s="228"/>
      <c r="F8" s="229"/>
      <c r="K8" s="146">
        <v>42648</v>
      </c>
      <c r="L8" s="231"/>
      <c r="M8" s="146">
        <v>42648</v>
      </c>
      <c r="N8" s="146">
        <v>42648</v>
      </c>
      <c r="O8" s="232">
        <f t="shared" si="0"/>
        <v>0</v>
      </c>
      <c r="P8" s="232">
        <f t="shared" si="1"/>
        <v>0</v>
      </c>
      <c r="Q8" s="232">
        <f t="shared" si="2"/>
        <v>0</v>
      </c>
      <c r="R8" s="232">
        <f t="shared" si="3"/>
        <v>-30</v>
      </c>
      <c r="S8" s="233">
        <v>20</v>
      </c>
      <c r="T8" s="234">
        <f t="shared" si="4"/>
        <v>0</v>
      </c>
      <c r="U8" s="234">
        <f t="shared" si="5"/>
        <v>-6534</v>
      </c>
      <c r="V8" s="233">
        <f t="shared" si="6"/>
        <v>120</v>
      </c>
    </row>
    <row r="9" spans="1:22" s="230" customFormat="1" ht="15">
      <c r="A9" s="225" t="s">
        <v>118</v>
      </c>
      <c r="B9" s="226">
        <v>42646</v>
      </c>
      <c r="C9" s="225" t="s">
        <v>119</v>
      </c>
      <c r="D9" s="227">
        <v>319</v>
      </c>
      <c r="E9" s="228"/>
      <c r="F9" s="229"/>
      <c r="K9" s="146">
        <v>42654</v>
      </c>
      <c r="L9" s="231"/>
      <c r="M9" s="146">
        <v>42676</v>
      </c>
      <c r="N9" s="146">
        <v>42676</v>
      </c>
      <c r="O9" s="232">
        <f t="shared" si="0"/>
        <v>22</v>
      </c>
      <c r="P9" s="232">
        <f t="shared" si="1"/>
        <v>0</v>
      </c>
      <c r="Q9" s="232">
        <f t="shared" si="2"/>
        <v>22</v>
      </c>
      <c r="R9" s="232">
        <f t="shared" si="3"/>
        <v>-8</v>
      </c>
      <c r="S9" s="233">
        <v>21</v>
      </c>
      <c r="T9" s="234">
        <f t="shared" si="4"/>
        <v>0</v>
      </c>
      <c r="U9" s="234">
        <f t="shared" si="5"/>
        <v>-2552</v>
      </c>
      <c r="V9" s="233">
        <f t="shared" si="6"/>
        <v>121</v>
      </c>
    </row>
    <row r="10" spans="1:22" s="230" customFormat="1" ht="15">
      <c r="A10" s="225" t="s">
        <v>120</v>
      </c>
      <c r="B10" s="226">
        <v>42648</v>
      </c>
      <c r="C10" s="225" t="s">
        <v>121</v>
      </c>
      <c r="D10" s="227">
        <v>1325.76</v>
      </c>
      <c r="E10" s="228"/>
      <c r="F10" s="229"/>
      <c r="K10" s="146">
        <v>42647</v>
      </c>
      <c r="L10" s="231"/>
      <c r="M10" s="146">
        <v>42647</v>
      </c>
      <c r="N10" s="146">
        <v>42647</v>
      </c>
      <c r="O10" s="232">
        <f t="shared" si="0"/>
        <v>0</v>
      </c>
      <c r="P10" s="232">
        <f t="shared" si="1"/>
        <v>0</v>
      </c>
      <c r="Q10" s="232">
        <f t="shared" si="2"/>
        <v>0</v>
      </c>
      <c r="R10" s="232">
        <f t="shared" si="3"/>
        <v>-30</v>
      </c>
      <c r="S10" s="233">
        <v>69</v>
      </c>
      <c r="T10" s="234">
        <f t="shared" si="4"/>
        <v>0</v>
      </c>
      <c r="U10" s="234">
        <f t="shared" si="5"/>
        <v>-39772.8</v>
      </c>
      <c r="V10" s="233">
        <f t="shared" si="6"/>
        <v>169</v>
      </c>
    </row>
    <row r="11" spans="1:22" s="233" customFormat="1" ht="15">
      <c r="A11" s="225" t="s">
        <v>122</v>
      </c>
      <c r="B11" s="226">
        <v>42653</v>
      </c>
      <c r="C11" s="225" t="s">
        <v>123</v>
      </c>
      <c r="D11" s="227">
        <v>2299</v>
      </c>
      <c r="K11" s="146">
        <v>42657</v>
      </c>
      <c r="L11" s="235"/>
      <c r="M11" s="146">
        <v>42660</v>
      </c>
      <c r="N11" s="146">
        <v>42660</v>
      </c>
      <c r="O11" s="232">
        <f t="shared" si="0"/>
        <v>3</v>
      </c>
      <c r="P11" s="232">
        <f t="shared" si="1"/>
        <v>0</v>
      </c>
      <c r="Q11" s="232">
        <f t="shared" si="2"/>
        <v>3</v>
      </c>
      <c r="R11" s="232">
        <f t="shared" si="3"/>
        <v>-27</v>
      </c>
      <c r="S11" s="233">
        <v>29</v>
      </c>
      <c r="T11" s="234">
        <f t="shared" si="4"/>
        <v>0</v>
      </c>
      <c r="U11" s="234">
        <f t="shared" si="5"/>
        <v>-62073</v>
      </c>
      <c r="V11" s="233">
        <f t="shared" si="6"/>
        <v>129</v>
      </c>
    </row>
    <row r="12" spans="1:22" s="230" customFormat="1" ht="15">
      <c r="A12" s="225" t="s">
        <v>124</v>
      </c>
      <c r="B12" s="226">
        <v>42654</v>
      </c>
      <c r="C12" s="225" t="s">
        <v>125</v>
      </c>
      <c r="D12" s="227">
        <v>562.5</v>
      </c>
      <c r="E12" s="228"/>
      <c r="F12" s="229"/>
      <c r="K12" s="146">
        <v>42661</v>
      </c>
      <c r="L12" s="231"/>
      <c r="M12" s="146">
        <v>42670</v>
      </c>
      <c r="N12" s="146">
        <v>42670</v>
      </c>
      <c r="O12" s="232">
        <f t="shared" si="0"/>
        <v>9</v>
      </c>
      <c r="P12" s="232">
        <f t="shared" si="1"/>
        <v>0</v>
      </c>
      <c r="Q12" s="232">
        <f t="shared" si="2"/>
        <v>9</v>
      </c>
      <c r="R12" s="232">
        <f t="shared" si="3"/>
        <v>-21</v>
      </c>
      <c r="S12" s="233">
        <v>29</v>
      </c>
      <c r="T12" s="234">
        <f t="shared" si="4"/>
        <v>0</v>
      </c>
      <c r="U12" s="234">
        <f t="shared" si="5"/>
        <v>-11812.5</v>
      </c>
      <c r="V12" s="233">
        <f t="shared" si="6"/>
        <v>129</v>
      </c>
    </row>
    <row r="13" spans="1:22" s="230" customFormat="1" ht="15">
      <c r="A13" s="225" t="s">
        <v>126</v>
      </c>
      <c r="B13" s="226">
        <v>42657</v>
      </c>
      <c r="C13" s="225" t="s">
        <v>127</v>
      </c>
      <c r="D13" s="227">
        <v>22.82</v>
      </c>
      <c r="E13" s="228"/>
      <c r="F13" s="229"/>
      <c r="K13" s="146">
        <v>42661</v>
      </c>
      <c r="L13" s="231"/>
      <c r="M13" s="146">
        <v>42667</v>
      </c>
      <c r="N13" s="146">
        <v>42667</v>
      </c>
      <c r="O13" s="232">
        <f t="shared" si="0"/>
        <v>6</v>
      </c>
      <c r="P13" s="232">
        <f t="shared" si="1"/>
        <v>0</v>
      </c>
      <c r="Q13" s="232">
        <f t="shared" si="2"/>
        <v>6</v>
      </c>
      <c r="R13" s="232">
        <f t="shared" si="3"/>
        <v>-24</v>
      </c>
      <c r="S13" s="233">
        <v>29</v>
      </c>
      <c r="T13" s="234">
        <f t="shared" si="4"/>
        <v>0</v>
      </c>
      <c r="U13" s="234">
        <f t="shared" si="5"/>
        <v>-547.6800000000001</v>
      </c>
      <c r="V13" s="233">
        <f t="shared" si="6"/>
        <v>129</v>
      </c>
    </row>
    <row r="14" spans="1:22" s="230" customFormat="1" ht="15">
      <c r="A14" s="225" t="s">
        <v>128</v>
      </c>
      <c r="B14" s="226">
        <v>42657</v>
      </c>
      <c r="C14" s="225" t="s">
        <v>129</v>
      </c>
      <c r="D14" s="227">
        <v>38.48</v>
      </c>
      <c r="E14" s="228"/>
      <c r="F14" s="229"/>
      <c r="K14" s="146">
        <v>42661</v>
      </c>
      <c r="L14" s="231"/>
      <c r="M14" s="146">
        <v>42667</v>
      </c>
      <c r="N14" s="146">
        <v>42667</v>
      </c>
      <c r="O14" s="232">
        <f t="shared" si="0"/>
        <v>6</v>
      </c>
      <c r="P14" s="232">
        <f t="shared" si="1"/>
        <v>0</v>
      </c>
      <c r="Q14" s="232">
        <f t="shared" si="2"/>
        <v>6</v>
      </c>
      <c r="R14" s="232">
        <f t="shared" si="3"/>
        <v>-24</v>
      </c>
      <c r="S14" s="233">
        <v>29</v>
      </c>
      <c r="T14" s="234">
        <f t="shared" si="4"/>
        <v>0</v>
      </c>
      <c r="U14" s="234">
        <f t="shared" si="5"/>
        <v>-923.52</v>
      </c>
      <c r="V14" s="233">
        <f t="shared" si="6"/>
        <v>129</v>
      </c>
    </row>
    <row r="15" spans="1:22" s="230" customFormat="1" ht="15">
      <c r="A15" s="225" t="s">
        <v>130</v>
      </c>
      <c r="B15" s="226">
        <v>42665</v>
      </c>
      <c r="C15" s="225" t="s">
        <v>131</v>
      </c>
      <c r="D15" s="227">
        <v>19.81</v>
      </c>
      <c r="E15" s="228"/>
      <c r="F15" s="229"/>
      <c r="K15" s="146">
        <v>42661</v>
      </c>
      <c r="L15" s="231"/>
      <c r="M15" s="146">
        <v>42667</v>
      </c>
      <c r="N15" s="146">
        <v>42667</v>
      </c>
      <c r="O15" s="232">
        <f t="shared" si="0"/>
        <v>6</v>
      </c>
      <c r="P15" s="232">
        <f t="shared" si="1"/>
        <v>0</v>
      </c>
      <c r="Q15" s="232">
        <f t="shared" si="2"/>
        <v>6</v>
      </c>
      <c r="R15" s="232">
        <f t="shared" si="3"/>
        <v>-24</v>
      </c>
      <c r="S15" s="233">
        <v>29</v>
      </c>
      <c r="T15" s="234">
        <f t="shared" si="4"/>
        <v>0</v>
      </c>
      <c r="U15" s="234">
        <f t="shared" si="5"/>
        <v>-475.43999999999994</v>
      </c>
      <c r="V15" s="233">
        <f t="shared" si="6"/>
        <v>129</v>
      </c>
    </row>
    <row r="16" spans="1:22" s="230" customFormat="1" ht="15">
      <c r="A16" s="225" t="s">
        <v>132</v>
      </c>
      <c r="B16" s="226">
        <v>42656</v>
      </c>
      <c r="C16" s="225" t="s">
        <v>133</v>
      </c>
      <c r="D16" s="227">
        <v>35.56</v>
      </c>
      <c r="E16" s="233"/>
      <c r="K16" s="146">
        <v>42661</v>
      </c>
      <c r="L16" s="231"/>
      <c r="M16" s="146">
        <v>42664</v>
      </c>
      <c r="N16" s="146">
        <v>42664</v>
      </c>
      <c r="O16" s="232">
        <f t="shared" si="0"/>
        <v>3</v>
      </c>
      <c r="P16" s="232">
        <f t="shared" si="1"/>
        <v>0</v>
      </c>
      <c r="Q16" s="232">
        <f t="shared" si="2"/>
        <v>3</v>
      </c>
      <c r="R16" s="232">
        <f t="shared" si="3"/>
        <v>-27</v>
      </c>
      <c r="S16" s="233">
        <v>29</v>
      </c>
      <c r="T16" s="234">
        <f t="shared" si="4"/>
        <v>0</v>
      </c>
      <c r="U16" s="234">
        <f t="shared" si="5"/>
        <v>-960.1200000000001</v>
      </c>
      <c r="V16" s="233">
        <f t="shared" si="6"/>
        <v>129</v>
      </c>
    </row>
    <row r="17" spans="1:22" s="230" customFormat="1" ht="15">
      <c r="A17" s="225" t="s">
        <v>134</v>
      </c>
      <c r="B17" s="226">
        <v>42656</v>
      </c>
      <c r="C17" s="225" t="s">
        <v>135</v>
      </c>
      <c r="D17" s="227">
        <v>16.2</v>
      </c>
      <c r="K17" s="146">
        <v>42661</v>
      </c>
      <c r="L17" s="231"/>
      <c r="M17" s="146">
        <v>42664</v>
      </c>
      <c r="N17" s="146">
        <v>42664</v>
      </c>
      <c r="O17" s="232">
        <f t="shared" si="0"/>
        <v>3</v>
      </c>
      <c r="P17" s="232">
        <f t="shared" si="1"/>
        <v>0</v>
      </c>
      <c r="Q17" s="232">
        <f t="shared" si="2"/>
        <v>3</v>
      </c>
      <c r="R17" s="232">
        <f t="shared" si="3"/>
        <v>-27</v>
      </c>
      <c r="S17" s="233">
        <v>29</v>
      </c>
      <c r="T17" s="234">
        <f t="shared" si="4"/>
        <v>0</v>
      </c>
      <c r="U17" s="234">
        <f t="shared" si="5"/>
        <v>-437.4</v>
      </c>
      <c r="V17" s="233">
        <f t="shared" si="6"/>
        <v>129</v>
      </c>
    </row>
    <row r="18" spans="1:22" s="230" customFormat="1" ht="15">
      <c r="A18" s="225" t="s">
        <v>136</v>
      </c>
      <c r="B18" s="226">
        <v>42648</v>
      </c>
      <c r="C18" s="225" t="s">
        <v>137</v>
      </c>
      <c r="D18" s="227">
        <v>305.38</v>
      </c>
      <c r="K18" s="146">
        <v>42648</v>
      </c>
      <c r="L18" s="231"/>
      <c r="M18" s="146">
        <v>42648</v>
      </c>
      <c r="N18" s="146">
        <v>42648</v>
      </c>
      <c r="O18" s="232">
        <f t="shared" si="0"/>
        <v>0</v>
      </c>
      <c r="P18" s="232">
        <f t="shared" si="1"/>
        <v>0</v>
      </c>
      <c r="Q18" s="232">
        <f t="shared" si="2"/>
        <v>0</v>
      </c>
      <c r="R18" s="232">
        <f t="shared" si="3"/>
        <v>-30</v>
      </c>
      <c r="S18" s="233">
        <v>21</v>
      </c>
      <c r="T18" s="234">
        <f t="shared" si="4"/>
        <v>0</v>
      </c>
      <c r="U18" s="234">
        <f t="shared" si="5"/>
        <v>-9161.4</v>
      </c>
      <c r="V18" s="233">
        <f t="shared" si="6"/>
        <v>121</v>
      </c>
    </row>
    <row r="19" spans="1:22" s="230" customFormat="1" ht="15">
      <c r="A19" s="225" t="s">
        <v>138</v>
      </c>
      <c r="B19" s="226">
        <v>42645</v>
      </c>
      <c r="C19" s="225" t="s">
        <v>139</v>
      </c>
      <c r="D19" s="227">
        <v>25.7</v>
      </c>
      <c r="K19" s="146">
        <v>42661</v>
      </c>
      <c r="L19" s="231"/>
      <c r="M19" s="146">
        <v>42671</v>
      </c>
      <c r="N19" s="146">
        <v>42671</v>
      </c>
      <c r="O19" s="232">
        <f t="shared" si="0"/>
        <v>10</v>
      </c>
      <c r="P19" s="232">
        <f t="shared" si="1"/>
        <v>0</v>
      </c>
      <c r="Q19" s="232">
        <f t="shared" si="2"/>
        <v>10</v>
      </c>
      <c r="R19" s="232">
        <f t="shared" si="3"/>
        <v>-20</v>
      </c>
      <c r="S19" s="233">
        <v>29</v>
      </c>
      <c r="T19" s="234">
        <f t="shared" si="4"/>
        <v>0</v>
      </c>
      <c r="U19" s="234">
        <f t="shared" si="5"/>
        <v>-514</v>
      </c>
      <c r="V19" s="233">
        <f t="shared" si="6"/>
        <v>129</v>
      </c>
    </row>
    <row r="20" spans="1:22" s="230" customFormat="1" ht="15">
      <c r="A20" s="225" t="s">
        <v>140</v>
      </c>
      <c r="B20" s="226">
        <v>42645</v>
      </c>
      <c r="C20" s="225" t="s">
        <v>141</v>
      </c>
      <c r="D20" s="227">
        <v>39.4</v>
      </c>
      <c r="K20" s="146">
        <v>42661</v>
      </c>
      <c r="L20" s="231"/>
      <c r="M20" s="146">
        <v>42671</v>
      </c>
      <c r="N20" s="146">
        <v>42671</v>
      </c>
      <c r="O20" s="232">
        <f t="shared" si="0"/>
        <v>10</v>
      </c>
      <c r="P20" s="232">
        <f t="shared" si="1"/>
        <v>0</v>
      </c>
      <c r="Q20" s="232">
        <f t="shared" si="2"/>
        <v>10</v>
      </c>
      <c r="R20" s="232">
        <f t="shared" si="3"/>
        <v>-20</v>
      </c>
      <c r="S20" s="233">
        <v>29</v>
      </c>
      <c r="T20" s="234">
        <f t="shared" si="4"/>
        <v>0</v>
      </c>
      <c r="U20" s="234">
        <f t="shared" si="5"/>
        <v>-788</v>
      </c>
      <c r="V20" s="233">
        <f t="shared" si="6"/>
        <v>129</v>
      </c>
    </row>
    <row r="21" spans="1:22" s="230" customFormat="1" ht="15">
      <c r="A21" s="225" t="s">
        <v>142</v>
      </c>
      <c r="B21" s="226">
        <v>42654</v>
      </c>
      <c r="C21" s="225" t="s">
        <v>143</v>
      </c>
      <c r="D21" s="227">
        <v>33.87</v>
      </c>
      <c r="K21" s="146">
        <v>42662</v>
      </c>
      <c r="L21" s="231"/>
      <c r="M21" s="146">
        <v>42662</v>
      </c>
      <c r="N21" s="146">
        <v>42662</v>
      </c>
      <c r="O21" s="232">
        <f t="shared" si="0"/>
        <v>0</v>
      </c>
      <c r="P21" s="232">
        <f t="shared" si="1"/>
        <v>0</v>
      </c>
      <c r="Q21" s="232">
        <f t="shared" si="2"/>
        <v>0</v>
      </c>
      <c r="R21" s="232">
        <f t="shared" si="3"/>
        <v>-30</v>
      </c>
      <c r="S21" s="233">
        <v>22</v>
      </c>
      <c r="T21" s="234">
        <f t="shared" si="4"/>
        <v>0</v>
      </c>
      <c r="U21" s="234">
        <f t="shared" si="5"/>
        <v>-1016.0999999999999</v>
      </c>
      <c r="V21" s="233">
        <f t="shared" si="6"/>
        <v>122</v>
      </c>
    </row>
    <row r="22" spans="1:22" s="233" customFormat="1" ht="15">
      <c r="A22" s="225" t="s">
        <v>144</v>
      </c>
      <c r="B22" s="226">
        <v>42646</v>
      </c>
      <c r="C22" s="225" t="s">
        <v>145</v>
      </c>
      <c r="D22" s="227">
        <v>58.87</v>
      </c>
      <c r="K22" s="146">
        <v>42663</v>
      </c>
      <c r="L22" s="235"/>
      <c r="M22" s="146">
        <v>42671</v>
      </c>
      <c r="N22" s="146">
        <v>42671</v>
      </c>
      <c r="O22" s="232">
        <f t="shared" si="0"/>
        <v>8</v>
      </c>
      <c r="P22" s="232">
        <f t="shared" si="1"/>
        <v>0</v>
      </c>
      <c r="Q22" s="232">
        <f t="shared" si="2"/>
        <v>8</v>
      </c>
      <c r="R22" s="232">
        <f t="shared" si="3"/>
        <v>-22</v>
      </c>
      <c r="S22" s="233">
        <v>29</v>
      </c>
      <c r="T22" s="234">
        <f t="shared" si="4"/>
        <v>0</v>
      </c>
      <c r="U22" s="234">
        <f t="shared" si="5"/>
        <v>-1295.1399999999999</v>
      </c>
      <c r="V22" s="233">
        <f t="shared" si="6"/>
        <v>129</v>
      </c>
    </row>
    <row r="23" spans="1:22" s="230" customFormat="1" ht="15">
      <c r="A23" s="225" t="s">
        <v>146</v>
      </c>
      <c r="B23" s="226">
        <v>42661</v>
      </c>
      <c r="C23" s="225" t="s">
        <v>147</v>
      </c>
      <c r="D23" s="227">
        <v>12000</v>
      </c>
      <c r="K23" s="146">
        <v>42669</v>
      </c>
      <c r="L23" s="231"/>
      <c r="M23" s="146">
        <v>42671</v>
      </c>
      <c r="N23" s="146">
        <v>42671</v>
      </c>
      <c r="O23" s="232">
        <f t="shared" si="0"/>
        <v>2</v>
      </c>
      <c r="P23" s="232">
        <f t="shared" si="1"/>
        <v>0</v>
      </c>
      <c r="Q23" s="232">
        <f t="shared" si="2"/>
        <v>2</v>
      </c>
      <c r="R23" s="232">
        <f t="shared" si="3"/>
        <v>-28</v>
      </c>
      <c r="S23" s="233">
        <v>29</v>
      </c>
      <c r="T23" s="234">
        <f t="shared" si="4"/>
        <v>0</v>
      </c>
      <c r="U23" s="234">
        <f t="shared" si="5"/>
        <v>-336000</v>
      </c>
      <c r="V23" s="233">
        <f t="shared" si="6"/>
        <v>129</v>
      </c>
    </row>
    <row r="24" spans="1:22" s="230" customFormat="1" ht="15">
      <c r="A24" s="225" t="s">
        <v>148</v>
      </c>
      <c r="B24" s="226">
        <v>42661</v>
      </c>
      <c r="C24" s="225" t="s">
        <v>149</v>
      </c>
      <c r="D24" s="227">
        <v>4784.4</v>
      </c>
      <c r="K24" s="146">
        <v>42669</v>
      </c>
      <c r="L24" s="231"/>
      <c r="M24" s="146">
        <v>42671</v>
      </c>
      <c r="N24" s="146">
        <v>42671</v>
      </c>
      <c r="O24" s="232">
        <f t="shared" si="0"/>
        <v>2</v>
      </c>
      <c r="P24" s="232">
        <f t="shared" si="1"/>
        <v>0</v>
      </c>
      <c r="Q24" s="232">
        <f t="shared" si="2"/>
        <v>2</v>
      </c>
      <c r="R24" s="232">
        <f t="shared" si="3"/>
        <v>-28</v>
      </c>
      <c r="S24" s="233">
        <v>29</v>
      </c>
      <c r="T24" s="234">
        <f t="shared" si="4"/>
        <v>0</v>
      </c>
      <c r="U24" s="234">
        <f t="shared" si="5"/>
        <v>-133963.19999999998</v>
      </c>
      <c r="V24" s="233">
        <f t="shared" si="6"/>
        <v>129</v>
      </c>
    </row>
    <row r="25" spans="1:22" s="230" customFormat="1" ht="15">
      <c r="A25" s="225" t="s">
        <v>150</v>
      </c>
      <c r="B25" s="226">
        <v>42662</v>
      </c>
      <c r="C25" s="225" t="s">
        <v>151</v>
      </c>
      <c r="D25" s="227">
        <v>74.48</v>
      </c>
      <c r="K25" s="146">
        <v>42662</v>
      </c>
      <c r="L25" s="231"/>
      <c r="M25" s="146">
        <v>42662</v>
      </c>
      <c r="N25" s="146">
        <v>42662</v>
      </c>
      <c r="O25" s="232">
        <f t="shared" si="0"/>
        <v>0</v>
      </c>
      <c r="P25" s="232">
        <f t="shared" si="1"/>
        <v>0</v>
      </c>
      <c r="Q25" s="232">
        <f t="shared" si="2"/>
        <v>0</v>
      </c>
      <c r="R25" s="232">
        <f t="shared" si="3"/>
        <v>-30</v>
      </c>
      <c r="S25" s="233">
        <v>29</v>
      </c>
      <c r="T25" s="234">
        <f t="shared" si="4"/>
        <v>0</v>
      </c>
      <c r="U25" s="234">
        <f t="shared" si="5"/>
        <v>-2234.4</v>
      </c>
      <c r="V25" s="233">
        <f t="shared" si="6"/>
        <v>129</v>
      </c>
    </row>
    <row r="26" spans="1:22" s="230" customFormat="1" ht="15">
      <c r="A26" s="225" t="s">
        <v>152</v>
      </c>
      <c r="B26" s="226">
        <v>42660</v>
      </c>
      <c r="C26" s="225" t="s">
        <v>153</v>
      </c>
      <c r="D26" s="227">
        <v>612.26</v>
      </c>
      <c r="K26" s="146">
        <v>42669</v>
      </c>
      <c r="L26" s="231"/>
      <c r="M26" s="146">
        <v>42670</v>
      </c>
      <c r="N26" s="146">
        <v>42670</v>
      </c>
      <c r="O26" s="232">
        <f t="shared" si="0"/>
        <v>1</v>
      </c>
      <c r="P26" s="232">
        <f t="shared" si="1"/>
        <v>0</v>
      </c>
      <c r="Q26" s="232">
        <f t="shared" si="2"/>
        <v>1</v>
      </c>
      <c r="R26" s="232">
        <f t="shared" si="3"/>
        <v>-29</v>
      </c>
      <c r="S26" s="233">
        <v>29</v>
      </c>
      <c r="T26" s="234">
        <f t="shared" si="4"/>
        <v>0</v>
      </c>
      <c r="U26" s="234">
        <f t="shared" si="5"/>
        <v>-17755.54</v>
      </c>
      <c r="V26" s="233">
        <f t="shared" si="6"/>
        <v>129</v>
      </c>
    </row>
    <row r="27" spans="1:22" s="230" customFormat="1" ht="15">
      <c r="A27" s="225" t="s">
        <v>154</v>
      </c>
      <c r="B27" s="226">
        <v>42660</v>
      </c>
      <c r="C27" s="225" t="s">
        <v>155</v>
      </c>
      <c r="D27" s="227">
        <v>37.81</v>
      </c>
      <c r="K27" s="146">
        <v>42669</v>
      </c>
      <c r="L27" s="231"/>
      <c r="M27" s="146">
        <v>42670</v>
      </c>
      <c r="N27" s="146">
        <v>42670</v>
      </c>
      <c r="O27" s="232">
        <f t="shared" si="0"/>
        <v>1</v>
      </c>
      <c r="P27" s="232">
        <f t="shared" si="1"/>
        <v>0</v>
      </c>
      <c r="Q27" s="232">
        <f t="shared" si="2"/>
        <v>1</v>
      </c>
      <c r="R27" s="232">
        <f t="shared" si="3"/>
        <v>-29</v>
      </c>
      <c r="S27" s="233">
        <v>22</v>
      </c>
      <c r="T27" s="234">
        <f t="shared" si="4"/>
        <v>0</v>
      </c>
      <c r="U27" s="234">
        <f t="shared" si="5"/>
        <v>-1096.49</v>
      </c>
      <c r="V27" s="233">
        <f t="shared" si="6"/>
        <v>122</v>
      </c>
    </row>
    <row r="28" spans="1:22" s="230" customFormat="1" ht="15">
      <c r="A28" s="225" t="s">
        <v>156</v>
      </c>
      <c r="B28" s="226">
        <v>42664</v>
      </c>
      <c r="C28" s="225" t="s">
        <v>157</v>
      </c>
      <c r="D28" s="227">
        <v>217</v>
      </c>
      <c r="K28" s="146">
        <v>42669</v>
      </c>
      <c r="L28" s="231"/>
      <c r="M28" s="146">
        <v>42671</v>
      </c>
      <c r="N28" s="146">
        <v>42671</v>
      </c>
      <c r="O28" s="232">
        <f t="shared" si="0"/>
        <v>2</v>
      </c>
      <c r="P28" s="232">
        <f t="shared" si="1"/>
        <v>0</v>
      </c>
      <c r="Q28" s="232">
        <f t="shared" si="2"/>
        <v>2</v>
      </c>
      <c r="R28" s="232">
        <f t="shared" si="3"/>
        <v>-28</v>
      </c>
      <c r="S28" s="233">
        <v>29</v>
      </c>
      <c r="T28" s="234">
        <f t="shared" si="4"/>
        <v>0</v>
      </c>
      <c r="U28" s="234">
        <f t="shared" si="5"/>
        <v>-6076</v>
      </c>
      <c r="V28" s="233">
        <f t="shared" si="6"/>
        <v>129</v>
      </c>
    </row>
    <row r="29" spans="1:22" s="230" customFormat="1" ht="15">
      <c r="A29" s="225" t="s">
        <v>158</v>
      </c>
      <c r="B29" s="226">
        <v>42667</v>
      </c>
      <c r="C29" s="225" t="s">
        <v>159</v>
      </c>
      <c r="D29" s="227">
        <v>151.25</v>
      </c>
      <c r="K29" s="146">
        <v>42676</v>
      </c>
      <c r="L29" s="231"/>
      <c r="M29" s="146">
        <v>42689</v>
      </c>
      <c r="N29" s="146">
        <v>42689</v>
      </c>
      <c r="O29" s="232">
        <f t="shared" si="0"/>
        <v>13</v>
      </c>
      <c r="P29" s="232">
        <f t="shared" si="1"/>
        <v>0</v>
      </c>
      <c r="Q29" s="232">
        <f t="shared" si="2"/>
        <v>13</v>
      </c>
      <c r="R29" s="232">
        <f t="shared" si="3"/>
        <v>-17</v>
      </c>
      <c r="S29" s="233">
        <v>21</v>
      </c>
      <c r="T29" s="234">
        <f t="shared" si="4"/>
        <v>0</v>
      </c>
      <c r="U29" s="234">
        <f t="shared" si="5"/>
        <v>-2571.25</v>
      </c>
      <c r="V29" s="233">
        <f t="shared" si="6"/>
        <v>121</v>
      </c>
    </row>
    <row r="30" spans="1:22" s="230" customFormat="1" ht="15">
      <c r="A30" s="225" t="s">
        <v>160</v>
      </c>
      <c r="B30" s="226">
        <v>42660</v>
      </c>
      <c r="C30" s="225" t="s">
        <v>161</v>
      </c>
      <c r="D30" s="227">
        <v>362.81</v>
      </c>
      <c r="K30" s="146">
        <v>42652</v>
      </c>
      <c r="L30" s="231"/>
      <c r="M30" s="146">
        <v>42652</v>
      </c>
      <c r="N30" s="146">
        <v>42652</v>
      </c>
      <c r="O30" s="232">
        <f t="shared" si="0"/>
        <v>0</v>
      </c>
      <c r="P30" s="232">
        <f t="shared" si="1"/>
        <v>0</v>
      </c>
      <c r="Q30" s="232">
        <f t="shared" si="2"/>
        <v>0</v>
      </c>
      <c r="R30" s="232">
        <f t="shared" si="3"/>
        <v>-30</v>
      </c>
      <c r="S30" s="233">
        <v>29</v>
      </c>
      <c r="T30" s="234">
        <f t="shared" si="4"/>
        <v>0</v>
      </c>
      <c r="U30" s="234">
        <f t="shared" si="5"/>
        <v>-10884.3</v>
      </c>
      <c r="V30" s="233">
        <f t="shared" si="6"/>
        <v>129</v>
      </c>
    </row>
    <row r="31" spans="1:22" s="230" customFormat="1" ht="15">
      <c r="A31" s="225" t="s">
        <v>162</v>
      </c>
      <c r="B31" s="226">
        <v>42661</v>
      </c>
      <c r="C31" s="225" t="s">
        <v>163</v>
      </c>
      <c r="D31" s="227">
        <v>395.57</v>
      </c>
      <c r="K31" s="146">
        <v>42663</v>
      </c>
      <c r="L31" s="231"/>
      <c r="M31" s="146">
        <v>42663</v>
      </c>
      <c r="N31" s="146">
        <v>42663</v>
      </c>
      <c r="O31" s="232">
        <f t="shared" si="0"/>
        <v>0</v>
      </c>
      <c r="P31" s="232">
        <f t="shared" si="1"/>
        <v>0</v>
      </c>
      <c r="Q31" s="232">
        <f t="shared" si="2"/>
        <v>0</v>
      </c>
      <c r="R31" s="232">
        <f t="shared" si="3"/>
        <v>-30</v>
      </c>
      <c r="S31" s="233">
        <v>29</v>
      </c>
      <c r="T31" s="234">
        <f t="shared" si="4"/>
        <v>0</v>
      </c>
      <c r="U31" s="234">
        <f t="shared" si="5"/>
        <v>-11867.1</v>
      </c>
      <c r="V31" s="233">
        <f t="shared" si="6"/>
        <v>129</v>
      </c>
    </row>
    <row r="32" spans="1:22" s="230" customFormat="1" ht="15">
      <c r="A32" s="225" t="s">
        <v>164</v>
      </c>
      <c r="B32" s="226">
        <v>42661</v>
      </c>
      <c r="C32" s="225" t="s">
        <v>165</v>
      </c>
      <c r="D32" s="227">
        <v>477.31</v>
      </c>
      <c r="K32" s="146">
        <v>42663</v>
      </c>
      <c r="L32" s="231"/>
      <c r="M32" s="146">
        <v>42663</v>
      </c>
      <c r="N32" s="146">
        <v>42663</v>
      </c>
      <c r="O32" s="232">
        <f t="shared" si="0"/>
        <v>0</v>
      </c>
      <c r="P32" s="232">
        <f t="shared" si="1"/>
        <v>0</v>
      </c>
      <c r="Q32" s="232">
        <f t="shared" si="2"/>
        <v>0</v>
      </c>
      <c r="R32" s="232">
        <f t="shared" si="3"/>
        <v>-30</v>
      </c>
      <c r="S32" s="233">
        <v>29</v>
      </c>
      <c r="T32" s="234">
        <f t="shared" si="4"/>
        <v>0</v>
      </c>
      <c r="U32" s="234">
        <f t="shared" si="5"/>
        <v>-14319.3</v>
      </c>
      <c r="V32" s="233">
        <f t="shared" si="6"/>
        <v>129</v>
      </c>
    </row>
    <row r="33" spans="1:22" s="230" customFormat="1" ht="15">
      <c r="A33" s="225" t="s">
        <v>166</v>
      </c>
      <c r="B33" s="226">
        <v>42667</v>
      </c>
      <c r="C33" s="225" t="s">
        <v>167</v>
      </c>
      <c r="D33" s="227">
        <v>3060</v>
      </c>
      <c r="K33" s="146">
        <v>42677</v>
      </c>
      <c r="L33" s="231"/>
      <c r="M33" s="146">
        <v>42689</v>
      </c>
      <c r="N33" s="146">
        <v>42689</v>
      </c>
      <c r="O33" s="232">
        <f t="shared" si="0"/>
        <v>12</v>
      </c>
      <c r="P33" s="232">
        <f t="shared" si="1"/>
        <v>0</v>
      </c>
      <c r="Q33" s="232">
        <f t="shared" si="2"/>
        <v>12</v>
      </c>
      <c r="R33" s="232">
        <f t="shared" si="3"/>
        <v>-18</v>
      </c>
      <c r="S33" s="233">
        <v>29</v>
      </c>
      <c r="T33" s="234">
        <f t="shared" si="4"/>
        <v>0</v>
      </c>
      <c r="U33" s="234">
        <f t="shared" si="5"/>
        <v>-55080</v>
      </c>
      <c r="V33" s="233">
        <f t="shared" si="6"/>
        <v>129</v>
      </c>
    </row>
    <row r="34" spans="1:22" s="230" customFormat="1" ht="15">
      <c r="A34" s="225" t="s">
        <v>168</v>
      </c>
      <c r="B34" s="226">
        <v>42669</v>
      </c>
      <c r="C34" s="225" t="s">
        <v>169</v>
      </c>
      <c r="D34" s="227">
        <v>1494.5</v>
      </c>
      <c r="K34" s="146">
        <v>42677</v>
      </c>
      <c r="L34" s="231"/>
      <c r="M34" s="146">
        <v>42683</v>
      </c>
      <c r="N34" s="146">
        <v>42683</v>
      </c>
      <c r="O34" s="232">
        <f t="shared" si="0"/>
        <v>6</v>
      </c>
      <c r="P34" s="232">
        <f t="shared" si="1"/>
        <v>0</v>
      </c>
      <c r="Q34" s="232">
        <f t="shared" si="2"/>
        <v>6</v>
      </c>
      <c r="R34" s="232">
        <f t="shared" si="3"/>
        <v>-24</v>
      </c>
      <c r="S34" s="233">
        <v>29</v>
      </c>
      <c r="T34" s="234">
        <f t="shared" si="4"/>
        <v>0</v>
      </c>
      <c r="U34" s="234">
        <f t="shared" si="5"/>
        <v>-35868</v>
      </c>
      <c r="V34" s="233">
        <f t="shared" si="6"/>
        <v>129</v>
      </c>
    </row>
    <row r="35" spans="1:22" s="230" customFormat="1" ht="15">
      <c r="A35" s="225" t="s">
        <v>170</v>
      </c>
      <c r="B35" s="226">
        <v>42677</v>
      </c>
      <c r="C35" s="225" t="s">
        <v>171</v>
      </c>
      <c r="D35" s="227">
        <v>242</v>
      </c>
      <c r="K35" s="146">
        <v>42678</v>
      </c>
      <c r="L35" s="231"/>
      <c r="M35" s="146">
        <v>42683</v>
      </c>
      <c r="N35" s="146">
        <v>42683</v>
      </c>
      <c r="O35" s="232">
        <f t="shared" si="0"/>
        <v>5</v>
      </c>
      <c r="P35" s="232">
        <f t="shared" si="1"/>
        <v>0</v>
      </c>
      <c r="Q35" s="232">
        <f t="shared" si="2"/>
        <v>5</v>
      </c>
      <c r="R35" s="232">
        <f t="shared" si="3"/>
        <v>-25</v>
      </c>
      <c r="S35" s="233">
        <v>29</v>
      </c>
      <c r="T35" s="234">
        <f t="shared" si="4"/>
        <v>0</v>
      </c>
      <c r="U35" s="234">
        <f t="shared" si="5"/>
        <v>-6050</v>
      </c>
      <c r="V35" s="233">
        <f t="shared" si="6"/>
        <v>129</v>
      </c>
    </row>
    <row r="36" spans="1:22" s="230" customFormat="1" ht="15">
      <c r="A36" s="225" t="s">
        <v>172</v>
      </c>
      <c r="B36" s="226">
        <v>42675</v>
      </c>
      <c r="C36" s="225" t="s">
        <v>173</v>
      </c>
      <c r="D36" s="227">
        <v>972</v>
      </c>
      <c r="K36" s="146">
        <v>42678</v>
      </c>
      <c r="L36" s="231"/>
      <c r="M36" s="146">
        <v>42689</v>
      </c>
      <c r="N36" s="146">
        <v>42689</v>
      </c>
      <c r="O36" s="232">
        <f t="shared" si="0"/>
        <v>11</v>
      </c>
      <c r="P36" s="232">
        <f t="shared" si="1"/>
        <v>0</v>
      </c>
      <c r="Q36" s="232">
        <f t="shared" si="2"/>
        <v>11</v>
      </c>
      <c r="R36" s="232">
        <f t="shared" si="3"/>
        <v>-19</v>
      </c>
      <c r="S36" s="233">
        <v>29</v>
      </c>
      <c r="T36" s="234">
        <f t="shared" si="4"/>
        <v>0</v>
      </c>
      <c r="U36" s="234">
        <f t="shared" si="5"/>
        <v>-18468</v>
      </c>
      <c r="V36" s="233">
        <f t="shared" si="6"/>
        <v>129</v>
      </c>
    </row>
    <row r="37" spans="1:22" s="230" customFormat="1" ht="15">
      <c r="A37" s="225" t="s">
        <v>174</v>
      </c>
      <c r="B37" s="226">
        <v>42675</v>
      </c>
      <c r="C37" s="225" t="s">
        <v>175</v>
      </c>
      <c r="D37" s="227">
        <v>972</v>
      </c>
      <c r="K37" s="146">
        <v>42678</v>
      </c>
      <c r="L37" s="231"/>
      <c r="M37" s="146">
        <v>42689</v>
      </c>
      <c r="N37" s="146">
        <v>42689</v>
      </c>
      <c r="O37" s="232">
        <f t="shared" si="0"/>
        <v>11</v>
      </c>
      <c r="P37" s="232">
        <f t="shared" si="1"/>
        <v>0</v>
      </c>
      <c r="Q37" s="232">
        <f t="shared" si="2"/>
        <v>11</v>
      </c>
      <c r="R37" s="232">
        <f t="shared" si="3"/>
        <v>-19</v>
      </c>
      <c r="S37" s="233">
        <v>29</v>
      </c>
      <c r="T37" s="234">
        <f t="shared" si="4"/>
        <v>0</v>
      </c>
      <c r="U37" s="234">
        <f t="shared" si="5"/>
        <v>-18468</v>
      </c>
      <c r="V37" s="233">
        <f t="shared" si="6"/>
        <v>129</v>
      </c>
    </row>
    <row r="38" spans="1:22" s="230" customFormat="1" ht="15">
      <c r="A38" s="225" t="s">
        <v>176</v>
      </c>
      <c r="B38" s="226">
        <v>42664</v>
      </c>
      <c r="C38" s="225" t="s">
        <v>177</v>
      </c>
      <c r="D38" s="227">
        <v>345</v>
      </c>
      <c r="K38" s="146">
        <v>42678</v>
      </c>
      <c r="L38" s="231"/>
      <c r="M38" s="146">
        <v>42689</v>
      </c>
      <c r="N38" s="146">
        <v>42689</v>
      </c>
      <c r="O38" s="232">
        <f t="shared" si="0"/>
        <v>11</v>
      </c>
      <c r="P38" s="232">
        <f t="shared" si="1"/>
        <v>0</v>
      </c>
      <c r="Q38" s="232">
        <f t="shared" si="2"/>
        <v>11</v>
      </c>
      <c r="R38" s="232">
        <f t="shared" si="3"/>
        <v>-19</v>
      </c>
      <c r="S38" s="233">
        <v>29</v>
      </c>
      <c r="T38" s="234">
        <f t="shared" si="4"/>
        <v>0</v>
      </c>
      <c r="U38" s="234">
        <f t="shared" si="5"/>
        <v>-6555</v>
      </c>
      <c r="V38" s="233">
        <f t="shared" si="6"/>
        <v>129</v>
      </c>
    </row>
    <row r="39" spans="1:22" s="230" customFormat="1" ht="15">
      <c r="A39" s="225" t="s">
        <v>178</v>
      </c>
      <c r="B39" s="226">
        <v>42664</v>
      </c>
      <c r="C39" s="225" t="s">
        <v>179</v>
      </c>
      <c r="D39" s="227">
        <v>435</v>
      </c>
      <c r="K39" s="146">
        <v>42678</v>
      </c>
      <c r="L39" s="231"/>
      <c r="M39" s="146">
        <v>42689</v>
      </c>
      <c r="N39" s="146">
        <v>42689</v>
      </c>
      <c r="O39" s="232">
        <f t="shared" si="0"/>
        <v>11</v>
      </c>
      <c r="P39" s="232">
        <f t="shared" si="1"/>
        <v>0</v>
      </c>
      <c r="Q39" s="232">
        <f t="shared" si="2"/>
        <v>11</v>
      </c>
      <c r="R39" s="232">
        <f t="shared" si="3"/>
        <v>-19</v>
      </c>
      <c r="S39" s="233">
        <v>29</v>
      </c>
      <c r="T39" s="234">
        <f t="shared" si="4"/>
        <v>0</v>
      </c>
      <c r="U39" s="234">
        <f t="shared" si="5"/>
        <v>-8265</v>
      </c>
      <c r="V39" s="233">
        <f t="shared" si="6"/>
        <v>129</v>
      </c>
    </row>
    <row r="40" spans="1:22" s="230" customFormat="1" ht="15">
      <c r="A40" s="225" t="s">
        <v>180</v>
      </c>
      <c r="B40" s="226">
        <v>42664</v>
      </c>
      <c r="C40" s="225" t="s">
        <v>181</v>
      </c>
      <c r="D40" s="227">
        <v>345</v>
      </c>
      <c r="K40" s="146">
        <v>42678</v>
      </c>
      <c r="L40" s="231"/>
      <c r="M40" s="146">
        <v>42689</v>
      </c>
      <c r="N40" s="146">
        <v>42689</v>
      </c>
      <c r="O40" s="232">
        <f t="shared" si="0"/>
        <v>11</v>
      </c>
      <c r="P40" s="232">
        <f t="shared" si="1"/>
        <v>0</v>
      </c>
      <c r="Q40" s="232">
        <f t="shared" si="2"/>
        <v>11</v>
      </c>
      <c r="R40" s="232">
        <f t="shared" si="3"/>
        <v>-19</v>
      </c>
      <c r="S40" s="233">
        <v>29</v>
      </c>
      <c r="T40" s="234">
        <f t="shared" si="4"/>
        <v>0</v>
      </c>
      <c r="U40" s="234">
        <f t="shared" si="5"/>
        <v>-6555</v>
      </c>
      <c r="V40" s="233">
        <f t="shared" si="6"/>
        <v>129</v>
      </c>
    </row>
    <row r="41" spans="1:22" s="230" customFormat="1" ht="15">
      <c r="A41" s="225" t="s">
        <v>182</v>
      </c>
      <c r="B41" s="226">
        <v>42678</v>
      </c>
      <c r="C41" s="225" t="s">
        <v>183</v>
      </c>
      <c r="D41" s="227">
        <v>25</v>
      </c>
      <c r="K41" s="146">
        <v>42676</v>
      </c>
      <c r="L41" s="231"/>
      <c r="M41" s="146">
        <v>42676</v>
      </c>
      <c r="N41" s="146">
        <v>42676</v>
      </c>
      <c r="O41" s="232">
        <f t="shared" si="0"/>
        <v>0</v>
      </c>
      <c r="P41" s="232">
        <f t="shared" si="1"/>
        <v>0</v>
      </c>
      <c r="Q41" s="232">
        <f t="shared" si="2"/>
        <v>0</v>
      </c>
      <c r="R41" s="232">
        <f t="shared" si="3"/>
        <v>-30</v>
      </c>
      <c r="S41" s="233">
        <v>29</v>
      </c>
      <c r="T41" s="234">
        <f t="shared" si="4"/>
        <v>0</v>
      </c>
      <c r="U41" s="234">
        <f t="shared" si="5"/>
        <v>-750</v>
      </c>
      <c r="V41" s="233">
        <f t="shared" si="6"/>
        <v>129</v>
      </c>
    </row>
    <row r="42" spans="1:22" s="230" customFormat="1" ht="15">
      <c r="A42" s="225" t="s">
        <v>184</v>
      </c>
      <c r="B42" s="226">
        <v>42669</v>
      </c>
      <c r="C42" s="225" t="s">
        <v>185</v>
      </c>
      <c r="D42" s="227">
        <v>108.9</v>
      </c>
      <c r="K42" s="146">
        <v>42682</v>
      </c>
      <c r="L42" s="231"/>
      <c r="M42" s="146">
        <v>42689</v>
      </c>
      <c r="N42" s="146">
        <v>42689</v>
      </c>
      <c r="O42" s="232">
        <f t="shared" si="0"/>
        <v>7</v>
      </c>
      <c r="P42" s="232">
        <f t="shared" si="1"/>
        <v>0</v>
      </c>
      <c r="Q42" s="232">
        <f t="shared" si="2"/>
        <v>7</v>
      </c>
      <c r="R42" s="232">
        <f t="shared" si="3"/>
        <v>-23</v>
      </c>
      <c r="S42" s="233">
        <v>29</v>
      </c>
      <c r="T42" s="234">
        <f t="shared" si="4"/>
        <v>0</v>
      </c>
      <c r="U42" s="234">
        <f t="shared" si="5"/>
        <v>-2504.7000000000003</v>
      </c>
      <c r="V42" s="233">
        <f t="shared" si="6"/>
        <v>129</v>
      </c>
    </row>
    <row r="43" spans="1:22" s="230" customFormat="1" ht="15">
      <c r="A43" s="225" t="s">
        <v>186</v>
      </c>
      <c r="B43" s="226">
        <v>42674</v>
      </c>
      <c r="C43" s="225" t="s">
        <v>187</v>
      </c>
      <c r="D43" s="227">
        <v>151.25</v>
      </c>
      <c r="K43" s="146">
        <v>42682</v>
      </c>
      <c r="L43" s="231"/>
      <c r="M43" s="146">
        <v>42688</v>
      </c>
      <c r="N43" s="146">
        <v>42688</v>
      </c>
      <c r="O43" s="232">
        <f t="shared" si="0"/>
        <v>6</v>
      </c>
      <c r="P43" s="232">
        <f t="shared" si="1"/>
        <v>0</v>
      </c>
      <c r="Q43" s="232">
        <f t="shared" si="2"/>
        <v>6</v>
      </c>
      <c r="R43" s="232">
        <f t="shared" si="3"/>
        <v>-24</v>
      </c>
      <c r="S43" s="233">
        <v>29</v>
      </c>
      <c r="T43" s="234">
        <f t="shared" si="4"/>
        <v>0</v>
      </c>
      <c r="U43" s="234">
        <f t="shared" si="5"/>
        <v>-3630</v>
      </c>
      <c r="V43" s="233">
        <f t="shared" si="6"/>
        <v>129</v>
      </c>
    </row>
    <row r="44" spans="1:22" s="230" customFormat="1" ht="15">
      <c r="A44" s="225" t="s">
        <v>188</v>
      </c>
      <c r="B44" s="226">
        <v>42674</v>
      </c>
      <c r="C44" s="225" t="s">
        <v>189</v>
      </c>
      <c r="D44" s="227">
        <v>266.2</v>
      </c>
      <c r="K44" s="146">
        <v>42682</v>
      </c>
      <c r="L44" s="231"/>
      <c r="M44" s="146">
        <v>42689</v>
      </c>
      <c r="N44" s="146">
        <v>42689</v>
      </c>
      <c r="O44" s="232">
        <f t="shared" si="0"/>
        <v>7</v>
      </c>
      <c r="P44" s="232">
        <f t="shared" si="1"/>
        <v>0</v>
      </c>
      <c r="Q44" s="232">
        <f t="shared" si="2"/>
        <v>7</v>
      </c>
      <c r="R44" s="232">
        <f t="shared" si="3"/>
        <v>-23</v>
      </c>
      <c r="S44" s="233">
        <v>29</v>
      </c>
      <c r="T44" s="234">
        <f t="shared" si="4"/>
        <v>0</v>
      </c>
      <c r="U44" s="234">
        <f t="shared" si="5"/>
        <v>-6122.599999999999</v>
      </c>
      <c r="V44" s="233">
        <f t="shared" si="6"/>
        <v>129</v>
      </c>
    </row>
    <row r="45" spans="1:22" s="230" customFormat="1" ht="15">
      <c r="A45" s="225" t="s">
        <v>190</v>
      </c>
      <c r="B45" s="226">
        <v>42669</v>
      </c>
      <c r="C45" s="225" t="s">
        <v>191</v>
      </c>
      <c r="D45" s="227">
        <v>578.71</v>
      </c>
      <c r="K45" s="146">
        <v>42682</v>
      </c>
      <c r="L45" s="231"/>
      <c r="M45" s="146">
        <v>42689</v>
      </c>
      <c r="N45" s="146">
        <v>42689</v>
      </c>
      <c r="O45" s="232">
        <f t="shared" si="0"/>
        <v>7</v>
      </c>
      <c r="P45" s="232">
        <f t="shared" si="1"/>
        <v>0</v>
      </c>
      <c r="Q45" s="232">
        <f t="shared" si="2"/>
        <v>7</v>
      </c>
      <c r="R45" s="232">
        <f t="shared" si="3"/>
        <v>-23</v>
      </c>
      <c r="S45" s="233">
        <v>21</v>
      </c>
      <c r="T45" s="234">
        <f t="shared" si="4"/>
        <v>0</v>
      </c>
      <c r="U45" s="234">
        <f t="shared" si="5"/>
        <v>-13310.330000000002</v>
      </c>
      <c r="V45" s="233">
        <f t="shared" si="6"/>
        <v>121</v>
      </c>
    </row>
    <row r="46" spans="1:22" s="230" customFormat="1" ht="15">
      <c r="A46" s="225" t="s">
        <v>192</v>
      </c>
      <c r="B46" s="226">
        <v>42669</v>
      </c>
      <c r="C46" s="225" t="s">
        <v>193</v>
      </c>
      <c r="D46" s="227">
        <v>163.35</v>
      </c>
      <c r="K46" s="146">
        <v>42685</v>
      </c>
      <c r="L46" s="231"/>
      <c r="M46" s="146">
        <v>42689</v>
      </c>
      <c r="N46" s="146">
        <v>42689</v>
      </c>
      <c r="O46" s="232">
        <f t="shared" si="0"/>
        <v>4</v>
      </c>
      <c r="P46" s="232">
        <f t="shared" si="1"/>
        <v>0</v>
      </c>
      <c r="Q46" s="232">
        <f t="shared" si="2"/>
        <v>4</v>
      </c>
      <c r="R46" s="232">
        <f t="shared" si="3"/>
        <v>-26</v>
      </c>
      <c r="S46" s="233">
        <v>29</v>
      </c>
      <c r="T46" s="234">
        <f t="shared" si="4"/>
        <v>0</v>
      </c>
      <c r="U46" s="234">
        <f t="shared" si="5"/>
        <v>-4247.099999999999</v>
      </c>
      <c r="V46" s="233">
        <f t="shared" si="6"/>
        <v>129</v>
      </c>
    </row>
    <row r="47" spans="1:22" s="230" customFormat="1" ht="15">
      <c r="A47" s="225" t="s">
        <v>194</v>
      </c>
      <c r="B47" s="226">
        <v>42674</v>
      </c>
      <c r="C47" s="225" t="s">
        <v>195</v>
      </c>
      <c r="D47" s="227">
        <v>1024.87</v>
      </c>
      <c r="K47" s="146">
        <v>42674</v>
      </c>
      <c r="L47" s="231"/>
      <c r="M47" s="146">
        <v>42689</v>
      </c>
      <c r="N47" s="146">
        <v>42689</v>
      </c>
      <c r="O47" s="232">
        <f t="shared" si="0"/>
        <v>15</v>
      </c>
      <c r="P47" s="232">
        <f t="shared" si="1"/>
        <v>0</v>
      </c>
      <c r="Q47" s="232">
        <f t="shared" si="2"/>
        <v>15</v>
      </c>
      <c r="R47" s="232">
        <f t="shared" si="3"/>
        <v>-15</v>
      </c>
      <c r="S47" s="233">
        <v>29</v>
      </c>
      <c r="T47" s="234">
        <f t="shared" si="4"/>
        <v>0</v>
      </c>
      <c r="U47" s="234">
        <f t="shared" si="5"/>
        <v>-15373.05</v>
      </c>
      <c r="V47" s="233">
        <f t="shared" si="6"/>
        <v>129</v>
      </c>
    </row>
    <row r="48" spans="1:22" s="230" customFormat="1" ht="15">
      <c r="A48" s="225" t="s">
        <v>196</v>
      </c>
      <c r="B48" s="226">
        <v>42674</v>
      </c>
      <c r="C48" s="225" t="s">
        <v>197</v>
      </c>
      <c r="D48" s="227">
        <v>409.95</v>
      </c>
      <c r="K48" s="146">
        <v>42674</v>
      </c>
      <c r="L48" s="231"/>
      <c r="M48" s="146">
        <v>42689</v>
      </c>
      <c r="N48" s="146">
        <v>42689</v>
      </c>
      <c r="O48" s="232">
        <f t="shared" si="0"/>
        <v>15</v>
      </c>
      <c r="P48" s="232">
        <f t="shared" si="1"/>
        <v>0</v>
      </c>
      <c r="Q48" s="232">
        <f t="shared" si="2"/>
        <v>15</v>
      </c>
      <c r="R48" s="232">
        <f t="shared" si="3"/>
        <v>-15</v>
      </c>
      <c r="S48" s="233">
        <v>29</v>
      </c>
      <c r="T48" s="234">
        <f t="shared" si="4"/>
        <v>0</v>
      </c>
      <c r="U48" s="234">
        <f t="shared" si="5"/>
        <v>-6149.25</v>
      </c>
      <c r="V48" s="233">
        <f t="shared" si="6"/>
        <v>129</v>
      </c>
    </row>
    <row r="49" spans="1:22" s="230" customFormat="1" ht="15">
      <c r="A49" s="225" t="s">
        <v>198</v>
      </c>
      <c r="B49" s="226">
        <v>42678</v>
      </c>
      <c r="C49" s="225" t="s">
        <v>199</v>
      </c>
      <c r="D49" s="227">
        <v>327.96</v>
      </c>
      <c r="K49" s="146">
        <v>42678</v>
      </c>
      <c r="L49" s="231"/>
      <c r="M49" s="146">
        <v>42689</v>
      </c>
      <c r="N49" s="146">
        <v>42689</v>
      </c>
      <c r="O49" s="232">
        <f t="shared" si="0"/>
        <v>11</v>
      </c>
      <c r="P49" s="232">
        <f t="shared" si="1"/>
        <v>0</v>
      </c>
      <c r="Q49" s="232">
        <f t="shared" si="2"/>
        <v>11</v>
      </c>
      <c r="R49" s="232">
        <f t="shared" si="3"/>
        <v>-19</v>
      </c>
      <c r="S49" s="233">
        <v>29</v>
      </c>
      <c r="T49" s="234">
        <f t="shared" si="4"/>
        <v>0</v>
      </c>
      <c r="U49" s="234">
        <f t="shared" si="5"/>
        <v>-6231.24</v>
      </c>
      <c r="V49" s="233">
        <f t="shared" si="6"/>
        <v>129</v>
      </c>
    </row>
    <row r="50" spans="1:22" s="230" customFormat="1" ht="15">
      <c r="A50" s="225" t="s">
        <v>200</v>
      </c>
      <c r="B50" s="226">
        <v>42674</v>
      </c>
      <c r="C50" s="225" t="s">
        <v>201</v>
      </c>
      <c r="D50" s="227">
        <v>387.57</v>
      </c>
      <c r="K50" s="146">
        <v>42675</v>
      </c>
      <c r="L50" s="231"/>
      <c r="M50" s="146">
        <v>42675</v>
      </c>
      <c r="N50" s="146">
        <v>42675</v>
      </c>
      <c r="O50" s="232">
        <f t="shared" si="0"/>
        <v>0</v>
      </c>
      <c r="P50" s="232">
        <f t="shared" si="1"/>
        <v>0</v>
      </c>
      <c r="Q50" s="232">
        <f t="shared" si="2"/>
        <v>0</v>
      </c>
      <c r="R50" s="232">
        <f t="shared" si="3"/>
        <v>-30</v>
      </c>
      <c r="S50" s="233">
        <v>29</v>
      </c>
      <c r="T50" s="234">
        <f t="shared" si="4"/>
        <v>0</v>
      </c>
      <c r="U50" s="234">
        <f t="shared" si="5"/>
        <v>-11627.1</v>
      </c>
      <c r="V50" s="233">
        <f t="shared" si="6"/>
        <v>129</v>
      </c>
    </row>
    <row r="51" spans="1:22" s="230" customFormat="1" ht="15">
      <c r="A51" s="225" t="s">
        <v>202</v>
      </c>
      <c r="B51" s="226">
        <v>42675</v>
      </c>
      <c r="C51" s="225" t="s">
        <v>203</v>
      </c>
      <c r="D51" s="227">
        <v>54.68</v>
      </c>
      <c r="K51" s="146">
        <v>42676</v>
      </c>
      <c r="L51" s="231"/>
      <c r="M51" s="146">
        <v>42676</v>
      </c>
      <c r="N51" s="146">
        <v>42676</v>
      </c>
      <c r="O51" s="232">
        <f t="shared" si="0"/>
        <v>0</v>
      </c>
      <c r="P51" s="232">
        <f t="shared" si="1"/>
        <v>0</v>
      </c>
      <c r="Q51" s="232">
        <f t="shared" si="2"/>
        <v>0</v>
      </c>
      <c r="R51" s="232">
        <f t="shared" si="3"/>
        <v>-30</v>
      </c>
      <c r="S51" s="233">
        <v>21</v>
      </c>
      <c r="T51" s="234">
        <f t="shared" si="4"/>
        <v>0</v>
      </c>
      <c r="U51" s="234">
        <f t="shared" si="5"/>
        <v>-1640.4</v>
      </c>
      <c r="V51" s="233">
        <f t="shared" si="6"/>
        <v>121</v>
      </c>
    </row>
    <row r="52" spans="1:22" s="230" customFormat="1" ht="15">
      <c r="A52" s="225" t="s">
        <v>204</v>
      </c>
      <c r="B52" s="226">
        <v>42674</v>
      </c>
      <c r="C52" s="225" t="s">
        <v>205</v>
      </c>
      <c r="D52" s="227">
        <v>1108.17</v>
      </c>
      <c r="K52" s="146">
        <v>42674</v>
      </c>
      <c r="L52" s="231"/>
      <c r="M52" s="146">
        <v>42674</v>
      </c>
      <c r="N52" s="146">
        <v>42674</v>
      </c>
      <c r="O52" s="232">
        <f t="shared" si="0"/>
        <v>0</v>
      </c>
      <c r="P52" s="232">
        <f t="shared" si="1"/>
        <v>0</v>
      </c>
      <c r="Q52" s="232">
        <f t="shared" si="2"/>
        <v>0</v>
      </c>
      <c r="R52" s="232">
        <f t="shared" si="3"/>
        <v>-30</v>
      </c>
      <c r="S52" s="233">
        <v>29</v>
      </c>
      <c r="T52" s="234">
        <f t="shared" si="4"/>
        <v>0</v>
      </c>
      <c r="U52" s="234">
        <f t="shared" si="5"/>
        <v>-33245.100000000006</v>
      </c>
      <c r="V52" s="233">
        <f t="shared" si="6"/>
        <v>129</v>
      </c>
    </row>
    <row r="53" spans="1:22" s="230" customFormat="1" ht="15">
      <c r="A53" s="225" t="s">
        <v>206</v>
      </c>
      <c r="B53" s="226">
        <v>42674</v>
      </c>
      <c r="C53" s="225" t="s">
        <v>207</v>
      </c>
      <c r="D53" s="227">
        <v>119.19</v>
      </c>
      <c r="K53" s="146">
        <v>42674</v>
      </c>
      <c r="L53" s="231"/>
      <c r="M53" s="146">
        <v>42674</v>
      </c>
      <c r="N53" s="146">
        <v>42674</v>
      </c>
      <c r="O53" s="232">
        <f t="shared" si="0"/>
        <v>0</v>
      </c>
      <c r="P53" s="232">
        <f t="shared" si="1"/>
        <v>0</v>
      </c>
      <c r="Q53" s="232">
        <f t="shared" si="2"/>
        <v>0</v>
      </c>
      <c r="R53" s="232">
        <f t="shared" si="3"/>
        <v>-30</v>
      </c>
      <c r="S53" s="233">
        <v>29</v>
      </c>
      <c r="T53" s="234">
        <f t="shared" si="4"/>
        <v>0</v>
      </c>
      <c r="U53" s="234">
        <f t="shared" si="5"/>
        <v>-3575.7</v>
      </c>
      <c r="V53" s="233">
        <f t="shared" si="6"/>
        <v>129</v>
      </c>
    </row>
    <row r="54" spans="1:22" s="230" customFormat="1" ht="15">
      <c r="A54" s="236" t="s">
        <v>208</v>
      </c>
      <c r="B54" s="237">
        <v>42704</v>
      </c>
      <c r="C54" s="236" t="s">
        <v>209</v>
      </c>
      <c r="D54" s="238">
        <v>408.89</v>
      </c>
      <c r="K54" s="146">
        <v>42681</v>
      </c>
      <c r="L54" s="231"/>
      <c r="M54" s="146">
        <v>42681</v>
      </c>
      <c r="N54" s="146">
        <v>42681</v>
      </c>
      <c r="O54" s="232">
        <f t="shared" si="0"/>
        <v>0</v>
      </c>
      <c r="P54" s="232">
        <f t="shared" si="1"/>
        <v>0</v>
      </c>
      <c r="Q54" s="232">
        <f t="shared" si="2"/>
        <v>0</v>
      </c>
      <c r="R54" s="232">
        <f t="shared" si="3"/>
        <v>-30</v>
      </c>
      <c r="S54" s="233">
        <v>29</v>
      </c>
      <c r="T54" s="234">
        <f t="shared" si="4"/>
        <v>0</v>
      </c>
      <c r="U54" s="234">
        <f t="shared" si="5"/>
        <v>-12266.699999999999</v>
      </c>
      <c r="V54" s="233">
        <f t="shared" si="6"/>
        <v>129</v>
      </c>
    </row>
    <row r="55" spans="1:22" s="230" customFormat="1" ht="15">
      <c r="A55" s="225" t="s">
        <v>210</v>
      </c>
      <c r="B55" s="226">
        <v>42669</v>
      </c>
      <c r="C55" s="225" t="s">
        <v>211</v>
      </c>
      <c r="D55" s="227">
        <v>429.61</v>
      </c>
      <c r="K55" s="146">
        <v>42688</v>
      </c>
      <c r="L55" s="231"/>
      <c r="M55" s="146">
        <v>42699</v>
      </c>
      <c r="N55" s="146">
        <v>42699</v>
      </c>
      <c r="O55" s="232">
        <f t="shared" si="0"/>
        <v>11</v>
      </c>
      <c r="P55" s="232">
        <f t="shared" si="1"/>
        <v>0</v>
      </c>
      <c r="Q55" s="232">
        <f t="shared" si="2"/>
        <v>11</v>
      </c>
      <c r="R55" s="232">
        <f t="shared" si="3"/>
        <v>-19</v>
      </c>
      <c r="S55" s="233">
        <v>21</v>
      </c>
      <c r="T55" s="234">
        <f t="shared" si="4"/>
        <v>0</v>
      </c>
      <c r="U55" s="234">
        <f t="shared" si="5"/>
        <v>-8162.59</v>
      </c>
      <c r="V55" s="233">
        <f t="shared" si="6"/>
        <v>121</v>
      </c>
    </row>
    <row r="56" spans="1:22" s="230" customFormat="1" ht="15">
      <c r="A56" s="225" t="s">
        <v>212</v>
      </c>
      <c r="B56" s="226">
        <v>42657</v>
      </c>
      <c r="C56" s="225" t="s">
        <v>213</v>
      </c>
      <c r="D56" s="227">
        <v>680.3</v>
      </c>
      <c r="K56" s="146">
        <v>42688</v>
      </c>
      <c r="L56" s="231"/>
      <c r="M56" s="146">
        <v>42695</v>
      </c>
      <c r="N56" s="146">
        <v>42695</v>
      </c>
      <c r="O56" s="232">
        <f t="shared" si="0"/>
        <v>7</v>
      </c>
      <c r="P56" s="232">
        <f t="shared" si="1"/>
        <v>0</v>
      </c>
      <c r="Q56" s="232">
        <f t="shared" si="2"/>
        <v>7</v>
      </c>
      <c r="R56" s="232">
        <f t="shared" si="3"/>
        <v>-23</v>
      </c>
      <c r="S56" s="233">
        <v>69</v>
      </c>
      <c r="T56" s="234">
        <f t="shared" si="4"/>
        <v>0</v>
      </c>
      <c r="U56" s="234">
        <f t="shared" si="5"/>
        <v>-15646.9</v>
      </c>
      <c r="V56" s="233">
        <f t="shared" si="6"/>
        <v>169</v>
      </c>
    </row>
    <row r="57" spans="1:22" s="230" customFormat="1" ht="15">
      <c r="A57" s="225" t="s">
        <v>214</v>
      </c>
      <c r="B57" s="226">
        <v>42668</v>
      </c>
      <c r="C57" s="225" t="s">
        <v>215</v>
      </c>
      <c r="D57" s="227">
        <v>5000</v>
      </c>
      <c r="K57" s="146">
        <v>42688</v>
      </c>
      <c r="L57" s="231"/>
      <c r="M57" s="146">
        <v>42688</v>
      </c>
      <c r="N57" s="146">
        <v>42688</v>
      </c>
      <c r="O57" s="232">
        <f t="shared" si="0"/>
        <v>0</v>
      </c>
      <c r="P57" s="232">
        <f t="shared" si="1"/>
        <v>0</v>
      </c>
      <c r="Q57" s="232">
        <f t="shared" si="2"/>
        <v>0</v>
      </c>
      <c r="R57" s="232">
        <f t="shared" si="3"/>
        <v>-30</v>
      </c>
      <c r="S57" s="233">
        <v>29</v>
      </c>
      <c r="T57" s="234">
        <f t="shared" si="4"/>
        <v>0</v>
      </c>
      <c r="U57" s="234">
        <f t="shared" si="5"/>
        <v>-150000</v>
      </c>
      <c r="V57" s="233">
        <f t="shared" si="6"/>
        <v>129</v>
      </c>
    </row>
    <row r="58" spans="1:22" s="230" customFormat="1" ht="15">
      <c r="A58" s="225" t="s">
        <v>216</v>
      </c>
      <c r="B58" s="226">
        <v>42674</v>
      </c>
      <c r="C58" s="225" t="s">
        <v>217</v>
      </c>
      <c r="D58" s="227">
        <v>29.55</v>
      </c>
      <c r="K58" s="146">
        <v>42688</v>
      </c>
      <c r="L58" s="231"/>
      <c r="M58" s="146">
        <v>42704</v>
      </c>
      <c r="N58" s="146">
        <v>42704</v>
      </c>
      <c r="O58" s="232">
        <f t="shared" si="0"/>
        <v>16</v>
      </c>
      <c r="P58" s="232">
        <f t="shared" si="1"/>
        <v>0</v>
      </c>
      <c r="Q58" s="232">
        <f t="shared" si="2"/>
        <v>16</v>
      </c>
      <c r="R58" s="232">
        <f t="shared" si="3"/>
        <v>-14</v>
      </c>
      <c r="S58" s="233">
        <v>22</v>
      </c>
      <c r="T58" s="234">
        <f t="shared" si="4"/>
        <v>0</v>
      </c>
      <c r="U58" s="234">
        <f t="shared" si="5"/>
        <v>-413.7</v>
      </c>
      <c r="V58" s="233">
        <f t="shared" si="6"/>
        <v>122</v>
      </c>
    </row>
    <row r="59" spans="1:22" s="230" customFormat="1" ht="15">
      <c r="A59" s="225" t="s">
        <v>218</v>
      </c>
      <c r="B59" s="226">
        <v>42670</v>
      </c>
      <c r="C59" s="225" t="s">
        <v>219</v>
      </c>
      <c r="D59" s="227">
        <v>302.5</v>
      </c>
      <c r="K59" s="146">
        <v>42688</v>
      </c>
      <c r="L59" s="231"/>
      <c r="M59" s="146">
        <v>42704</v>
      </c>
      <c r="N59" s="146">
        <v>42704</v>
      </c>
      <c r="O59" s="232">
        <f t="shared" si="0"/>
        <v>16</v>
      </c>
      <c r="P59" s="232">
        <f t="shared" si="1"/>
        <v>0</v>
      </c>
      <c r="Q59" s="232">
        <f t="shared" si="2"/>
        <v>16</v>
      </c>
      <c r="R59" s="232">
        <f t="shared" si="3"/>
        <v>-14</v>
      </c>
      <c r="S59" s="233">
        <v>21</v>
      </c>
      <c r="T59" s="234">
        <f t="shared" si="4"/>
        <v>0</v>
      </c>
      <c r="U59" s="234">
        <f t="shared" si="5"/>
        <v>-4235</v>
      </c>
      <c r="V59" s="233">
        <f t="shared" si="6"/>
        <v>121</v>
      </c>
    </row>
    <row r="60" spans="1:22" s="230" customFormat="1" ht="15">
      <c r="A60" s="225" t="s">
        <v>220</v>
      </c>
      <c r="B60" s="226">
        <v>42681</v>
      </c>
      <c r="C60" s="225" t="s">
        <v>221</v>
      </c>
      <c r="D60" s="227">
        <v>56.1</v>
      </c>
      <c r="K60" s="146">
        <v>42689</v>
      </c>
      <c r="L60" s="231"/>
      <c r="M60" s="146">
        <v>42704</v>
      </c>
      <c r="N60" s="146">
        <v>42704</v>
      </c>
      <c r="O60" s="232">
        <f t="shared" si="0"/>
        <v>15</v>
      </c>
      <c r="P60" s="232">
        <f t="shared" si="1"/>
        <v>0</v>
      </c>
      <c r="Q60" s="232">
        <f t="shared" si="2"/>
        <v>15</v>
      </c>
      <c r="R60" s="232">
        <f t="shared" si="3"/>
        <v>-15</v>
      </c>
      <c r="S60" s="233">
        <v>29</v>
      </c>
      <c r="T60" s="234">
        <f t="shared" si="4"/>
        <v>0</v>
      </c>
      <c r="U60" s="234">
        <f t="shared" si="5"/>
        <v>-841.5</v>
      </c>
      <c r="V60" s="233">
        <f t="shared" si="6"/>
        <v>129</v>
      </c>
    </row>
    <row r="61" spans="1:22" s="230" customFormat="1" ht="15">
      <c r="A61" s="225" t="s">
        <v>222</v>
      </c>
      <c r="B61" s="226">
        <v>42684</v>
      </c>
      <c r="C61" s="225" t="s">
        <v>223</v>
      </c>
      <c r="D61" s="227">
        <v>223.85</v>
      </c>
      <c r="K61" s="146">
        <v>42689</v>
      </c>
      <c r="L61" s="231"/>
      <c r="M61" s="146">
        <v>42704</v>
      </c>
      <c r="N61" s="146">
        <v>42704</v>
      </c>
      <c r="O61" s="232">
        <f t="shared" si="0"/>
        <v>15</v>
      </c>
      <c r="P61" s="232">
        <f t="shared" si="1"/>
        <v>0</v>
      </c>
      <c r="Q61" s="232">
        <f t="shared" si="2"/>
        <v>15</v>
      </c>
      <c r="R61" s="232">
        <f t="shared" si="3"/>
        <v>-15</v>
      </c>
      <c r="S61" s="233">
        <v>29</v>
      </c>
      <c r="T61" s="234">
        <f t="shared" si="4"/>
        <v>0</v>
      </c>
      <c r="U61" s="234">
        <f t="shared" si="5"/>
        <v>-3357.75</v>
      </c>
      <c r="V61" s="233">
        <f t="shared" si="6"/>
        <v>129</v>
      </c>
    </row>
    <row r="62" spans="1:22" s="230" customFormat="1" ht="15">
      <c r="A62" s="225" t="s">
        <v>224</v>
      </c>
      <c r="B62" s="226">
        <v>42674</v>
      </c>
      <c r="C62" s="225" t="s">
        <v>225</v>
      </c>
      <c r="D62" s="227">
        <v>434.7</v>
      </c>
      <c r="K62" s="146">
        <v>42691</v>
      </c>
      <c r="L62" s="231"/>
      <c r="M62" s="146">
        <v>42704</v>
      </c>
      <c r="N62" s="146">
        <v>42704</v>
      </c>
      <c r="O62" s="232">
        <f t="shared" si="0"/>
        <v>13</v>
      </c>
      <c r="P62" s="232">
        <f t="shared" si="1"/>
        <v>0</v>
      </c>
      <c r="Q62" s="232">
        <f t="shared" si="2"/>
        <v>13</v>
      </c>
      <c r="R62" s="232">
        <f t="shared" si="3"/>
        <v>-17</v>
      </c>
      <c r="S62" s="233">
        <v>29</v>
      </c>
      <c r="T62" s="234">
        <f t="shared" si="4"/>
        <v>0</v>
      </c>
      <c r="U62" s="234">
        <f t="shared" si="5"/>
        <v>-7389.9</v>
      </c>
      <c r="V62" s="233">
        <f t="shared" si="6"/>
        <v>129</v>
      </c>
    </row>
    <row r="63" spans="1:22" s="230" customFormat="1" ht="15">
      <c r="A63" s="225" t="s">
        <v>226</v>
      </c>
      <c r="B63" s="226">
        <v>42684</v>
      </c>
      <c r="C63" s="225" t="s">
        <v>227</v>
      </c>
      <c r="D63" s="227">
        <v>45</v>
      </c>
      <c r="K63" s="146">
        <v>42647</v>
      </c>
      <c r="L63" s="231"/>
      <c r="M63" s="146">
        <v>42647</v>
      </c>
      <c r="N63" s="146">
        <v>42647</v>
      </c>
      <c r="O63" s="232">
        <f t="shared" si="0"/>
        <v>0</v>
      </c>
      <c r="P63" s="232">
        <f t="shared" si="1"/>
        <v>0</v>
      </c>
      <c r="Q63" s="232">
        <f t="shared" si="2"/>
        <v>0</v>
      </c>
      <c r="R63" s="232">
        <f t="shared" si="3"/>
        <v>-30</v>
      </c>
      <c r="S63" s="233">
        <v>29</v>
      </c>
      <c r="T63" s="234">
        <f t="shared" si="4"/>
        <v>0</v>
      </c>
      <c r="U63" s="234">
        <f t="shared" si="5"/>
        <v>-1350</v>
      </c>
      <c r="V63" s="233">
        <f t="shared" si="6"/>
        <v>129</v>
      </c>
    </row>
    <row r="64" spans="1:22" s="230" customFormat="1" ht="15">
      <c r="A64" s="225" t="s">
        <v>228</v>
      </c>
      <c r="B64" s="226">
        <v>42674</v>
      </c>
      <c r="C64" s="225" t="s">
        <v>229</v>
      </c>
      <c r="D64" s="227">
        <v>718.98</v>
      </c>
      <c r="K64" s="146">
        <v>42697</v>
      </c>
      <c r="L64" s="231"/>
      <c r="M64" s="146">
        <v>42704</v>
      </c>
      <c r="N64" s="146">
        <v>42704</v>
      </c>
      <c r="O64" s="232">
        <f t="shared" si="0"/>
        <v>7</v>
      </c>
      <c r="P64" s="232">
        <f t="shared" si="1"/>
        <v>0</v>
      </c>
      <c r="Q64" s="232">
        <f t="shared" si="2"/>
        <v>7</v>
      </c>
      <c r="R64" s="232">
        <f t="shared" si="3"/>
        <v>-23</v>
      </c>
      <c r="S64" s="233">
        <v>22</v>
      </c>
      <c r="T64" s="234">
        <f t="shared" si="4"/>
        <v>0</v>
      </c>
      <c r="U64" s="234">
        <f t="shared" si="5"/>
        <v>-16536.54</v>
      </c>
      <c r="V64" s="233">
        <f t="shared" si="6"/>
        <v>122</v>
      </c>
    </row>
    <row r="65" spans="1:22" s="230" customFormat="1" ht="15">
      <c r="A65" s="225" t="s">
        <v>230</v>
      </c>
      <c r="B65" s="226">
        <v>42664</v>
      </c>
      <c r="C65" s="225" t="s">
        <v>231</v>
      </c>
      <c r="D65" s="227">
        <v>76.96</v>
      </c>
      <c r="K65" s="146">
        <v>42697</v>
      </c>
      <c r="L65" s="231"/>
      <c r="M65" s="146">
        <v>42704</v>
      </c>
      <c r="N65" s="146">
        <v>42704</v>
      </c>
      <c r="O65" s="232">
        <f t="shared" si="0"/>
        <v>7</v>
      </c>
      <c r="P65" s="232">
        <f t="shared" si="1"/>
        <v>0</v>
      </c>
      <c r="Q65" s="232">
        <f t="shared" si="2"/>
        <v>7</v>
      </c>
      <c r="R65" s="232">
        <f t="shared" si="3"/>
        <v>-23</v>
      </c>
      <c r="S65" s="233">
        <v>22</v>
      </c>
      <c r="T65" s="234">
        <f t="shared" si="4"/>
        <v>0</v>
      </c>
      <c r="U65" s="234">
        <f t="shared" si="5"/>
        <v>-1770.08</v>
      </c>
      <c r="V65" s="233">
        <f t="shared" si="6"/>
        <v>122</v>
      </c>
    </row>
    <row r="66" spans="1:22" s="230" customFormat="1" ht="15">
      <c r="A66" s="225" t="s">
        <v>232</v>
      </c>
      <c r="B66" s="226">
        <v>42682</v>
      </c>
      <c r="C66" s="225" t="s">
        <v>233</v>
      </c>
      <c r="D66" s="227">
        <v>1911.81</v>
      </c>
      <c r="K66" s="146">
        <v>42688</v>
      </c>
      <c r="L66" s="231"/>
      <c r="M66" s="146">
        <v>42688</v>
      </c>
      <c r="N66" s="146">
        <v>42688</v>
      </c>
      <c r="O66" s="232">
        <f t="shared" si="0"/>
        <v>0</v>
      </c>
      <c r="P66" s="232">
        <f t="shared" si="1"/>
        <v>0</v>
      </c>
      <c r="Q66" s="232">
        <f t="shared" si="2"/>
        <v>0</v>
      </c>
      <c r="R66" s="232">
        <f t="shared" si="3"/>
        <v>-30</v>
      </c>
      <c r="S66" s="233">
        <v>29</v>
      </c>
      <c r="T66" s="234">
        <f t="shared" si="4"/>
        <v>0</v>
      </c>
      <c r="U66" s="234">
        <f t="shared" si="5"/>
        <v>-57354.299999999996</v>
      </c>
      <c r="V66" s="233">
        <f t="shared" si="6"/>
        <v>129</v>
      </c>
    </row>
    <row r="67" spans="1:22" s="230" customFormat="1" ht="15">
      <c r="A67" s="225" t="s">
        <v>234</v>
      </c>
      <c r="B67" s="226">
        <v>42677</v>
      </c>
      <c r="C67" s="225" t="s">
        <v>235</v>
      </c>
      <c r="D67" s="227">
        <v>75.07</v>
      </c>
      <c r="K67" s="146">
        <v>42682</v>
      </c>
      <c r="L67" s="231"/>
      <c r="M67" s="146">
        <v>42682</v>
      </c>
      <c r="N67" s="146">
        <v>42682</v>
      </c>
      <c r="O67" s="232">
        <f t="shared" si="0"/>
        <v>0</v>
      </c>
      <c r="P67" s="232">
        <f t="shared" si="1"/>
        <v>0</v>
      </c>
      <c r="Q67" s="232">
        <f t="shared" si="2"/>
        <v>0</v>
      </c>
      <c r="R67" s="232">
        <f t="shared" si="3"/>
        <v>-30</v>
      </c>
      <c r="S67" s="233">
        <v>29</v>
      </c>
      <c r="T67" s="234">
        <f t="shared" si="4"/>
        <v>0</v>
      </c>
      <c r="U67" s="234">
        <f t="shared" si="5"/>
        <v>-2252.1</v>
      </c>
      <c r="V67" s="233">
        <f t="shared" si="6"/>
        <v>129</v>
      </c>
    </row>
    <row r="68" spans="1:22" s="230" customFormat="1" ht="15">
      <c r="A68" s="225" t="s">
        <v>236</v>
      </c>
      <c r="B68" s="226">
        <v>42677</v>
      </c>
      <c r="C68" s="225" t="s">
        <v>237</v>
      </c>
      <c r="D68" s="227">
        <v>553.68</v>
      </c>
      <c r="K68" s="146">
        <v>42682</v>
      </c>
      <c r="L68" s="231"/>
      <c r="M68" s="146">
        <v>42682</v>
      </c>
      <c r="N68" s="146">
        <v>42682</v>
      </c>
      <c r="O68" s="232">
        <f t="shared" si="0"/>
        <v>0</v>
      </c>
      <c r="P68" s="232">
        <f t="shared" si="1"/>
        <v>0</v>
      </c>
      <c r="Q68" s="232">
        <f t="shared" si="2"/>
        <v>0</v>
      </c>
      <c r="R68" s="232">
        <f t="shared" si="3"/>
        <v>-30</v>
      </c>
      <c r="S68" s="233">
        <v>29</v>
      </c>
      <c r="T68" s="234">
        <f t="shared" si="4"/>
        <v>0</v>
      </c>
      <c r="U68" s="234">
        <f t="shared" si="5"/>
        <v>-16610.399999999998</v>
      </c>
      <c r="V68" s="233">
        <f t="shared" si="6"/>
        <v>129</v>
      </c>
    </row>
    <row r="69" spans="1:22" s="230" customFormat="1" ht="15">
      <c r="A69" s="225" t="s">
        <v>238</v>
      </c>
      <c r="B69" s="226">
        <v>42677</v>
      </c>
      <c r="C69" s="225" t="s">
        <v>239</v>
      </c>
      <c r="D69" s="227">
        <v>1077.07</v>
      </c>
      <c r="K69" s="146">
        <v>42682</v>
      </c>
      <c r="L69" s="231"/>
      <c r="M69" s="146">
        <v>42682</v>
      </c>
      <c r="N69" s="146">
        <v>42682</v>
      </c>
      <c r="O69" s="232">
        <f t="shared" si="0"/>
        <v>0</v>
      </c>
      <c r="P69" s="232">
        <f t="shared" si="1"/>
        <v>0</v>
      </c>
      <c r="Q69" s="232">
        <f t="shared" si="2"/>
        <v>0</v>
      </c>
      <c r="R69" s="232">
        <f t="shared" si="3"/>
        <v>-30</v>
      </c>
      <c r="S69" s="233">
        <v>29</v>
      </c>
      <c r="T69" s="234">
        <f t="shared" si="4"/>
        <v>0</v>
      </c>
      <c r="U69" s="234">
        <f t="shared" si="5"/>
        <v>-32312.1</v>
      </c>
      <c r="V69" s="233">
        <f t="shared" si="6"/>
        <v>129</v>
      </c>
    </row>
    <row r="70" spans="1:22" s="230" customFormat="1" ht="15">
      <c r="A70" s="225" t="s">
        <v>240</v>
      </c>
      <c r="B70" s="226">
        <v>42677</v>
      </c>
      <c r="C70" s="225" t="s">
        <v>241</v>
      </c>
      <c r="D70" s="227">
        <v>300.62</v>
      </c>
      <c r="K70" s="146">
        <v>42682</v>
      </c>
      <c r="L70" s="231"/>
      <c r="M70" s="146">
        <v>42682</v>
      </c>
      <c r="N70" s="146">
        <v>42682</v>
      </c>
      <c r="O70" s="232">
        <f t="shared" si="0"/>
        <v>0</v>
      </c>
      <c r="P70" s="232">
        <f t="shared" si="1"/>
        <v>0</v>
      </c>
      <c r="Q70" s="232">
        <f t="shared" si="2"/>
        <v>0</v>
      </c>
      <c r="R70" s="232">
        <f t="shared" si="3"/>
        <v>-30</v>
      </c>
      <c r="S70" s="233">
        <v>29</v>
      </c>
      <c r="T70" s="234">
        <f t="shared" si="4"/>
        <v>0</v>
      </c>
      <c r="U70" s="234">
        <f t="shared" si="5"/>
        <v>-9018.6</v>
      </c>
      <c r="V70" s="233">
        <f t="shared" si="6"/>
        <v>129</v>
      </c>
    </row>
    <row r="71" spans="1:22" s="230" customFormat="1" ht="15">
      <c r="A71" s="225" t="s">
        <v>242</v>
      </c>
      <c r="B71" s="226">
        <v>42677</v>
      </c>
      <c r="C71" s="225" t="s">
        <v>243</v>
      </c>
      <c r="D71" s="227">
        <v>72.65</v>
      </c>
      <c r="K71" s="146">
        <v>42682</v>
      </c>
      <c r="L71" s="231"/>
      <c r="M71" s="146">
        <v>42682</v>
      </c>
      <c r="N71" s="146">
        <v>42682</v>
      </c>
      <c r="O71" s="232">
        <f aca="true" t="shared" si="7" ref="O71:O134">+M71-K71</f>
        <v>0</v>
      </c>
      <c r="P71" s="232">
        <f aca="true" t="shared" si="8" ref="P71:P134">+N71-M71</f>
        <v>0</v>
      </c>
      <c r="Q71" s="232">
        <f aca="true" t="shared" si="9" ref="Q71:Q134">+N71-K71</f>
        <v>0</v>
      </c>
      <c r="R71" s="232">
        <f aca="true" t="shared" si="10" ref="R71:R134">+Q71-30</f>
        <v>-30</v>
      </c>
      <c r="S71" s="233">
        <v>29</v>
      </c>
      <c r="T71" s="234">
        <f aca="true" t="shared" si="11" ref="T71:T134">+P71*D71</f>
        <v>0</v>
      </c>
      <c r="U71" s="234">
        <f aca="true" t="shared" si="12" ref="U71:U134">+R71*D71</f>
        <v>-2179.5</v>
      </c>
      <c r="V71" s="233">
        <f aca="true" t="shared" si="13" ref="V71:V134">IF(P71&gt;30,200+S71,100+S71)</f>
        <v>129</v>
      </c>
    </row>
    <row r="72" spans="1:22" s="230" customFormat="1" ht="15">
      <c r="A72" s="225" t="s">
        <v>244</v>
      </c>
      <c r="B72" s="226">
        <v>42646</v>
      </c>
      <c r="C72" s="225" t="s">
        <v>245</v>
      </c>
      <c r="D72" s="227">
        <v>75.07</v>
      </c>
      <c r="K72" s="146">
        <v>42653</v>
      </c>
      <c r="L72" s="231"/>
      <c r="M72" s="146">
        <v>42653</v>
      </c>
      <c r="N72" s="146">
        <v>42653</v>
      </c>
      <c r="O72" s="232">
        <f t="shared" si="7"/>
        <v>0</v>
      </c>
      <c r="P72" s="232">
        <f t="shared" si="8"/>
        <v>0</v>
      </c>
      <c r="Q72" s="232">
        <f t="shared" si="9"/>
        <v>0</v>
      </c>
      <c r="R72" s="232">
        <f t="shared" si="10"/>
        <v>-30</v>
      </c>
      <c r="S72" s="233">
        <v>29</v>
      </c>
      <c r="T72" s="234">
        <f t="shared" si="11"/>
        <v>0</v>
      </c>
      <c r="U72" s="234">
        <f t="shared" si="12"/>
        <v>-2252.1</v>
      </c>
      <c r="V72" s="233">
        <f t="shared" si="13"/>
        <v>129</v>
      </c>
    </row>
    <row r="73" spans="1:22" s="230" customFormat="1" ht="15">
      <c r="A73" s="225" t="s">
        <v>246</v>
      </c>
      <c r="B73" s="226">
        <v>42646</v>
      </c>
      <c r="C73" s="225" t="s">
        <v>247</v>
      </c>
      <c r="D73" s="227">
        <v>536.17</v>
      </c>
      <c r="K73" s="146">
        <v>42653</v>
      </c>
      <c r="L73" s="231"/>
      <c r="M73" s="146">
        <v>42653</v>
      </c>
      <c r="N73" s="146">
        <v>42653</v>
      </c>
      <c r="O73" s="232">
        <f t="shared" si="7"/>
        <v>0</v>
      </c>
      <c r="P73" s="232">
        <f t="shared" si="8"/>
        <v>0</v>
      </c>
      <c r="Q73" s="232">
        <f t="shared" si="9"/>
        <v>0</v>
      </c>
      <c r="R73" s="232">
        <f t="shared" si="10"/>
        <v>-30</v>
      </c>
      <c r="S73" s="233">
        <v>29</v>
      </c>
      <c r="T73" s="234">
        <f t="shared" si="11"/>
        <v>0</v>
      </c>
      <c r="U73" s="234">
        <f t="shared" si="12"/>
        <v>-16085.099999999999</v>
      </c>
      <c r="V73" s="233">
        <f t="shared" si="13"/>
        <v>129</v>
      </c>
    </row>
    <row r="74" spans="1:22" s="230" customFormat="1" ht="15">
      <c r="A74" s="225" t="s">
        <v>248</v>
      </c>
      <c r="B74" s="226">
        <v>42646</v>
      </c>
      <c r="C74" s="225" t="s">
        <v>249</v>
      </c>
      <c r="D74" s="227">
        <v>1088.34</v>
      </c>
      <c r="K74" s="146">
        <v>42653</v>
      </c>
      <c r="L74" s="231"/>
      <c r="M74" s="146">
        <v>42653</v>
      </c>
      <c r="N74" s="146">
        <v>42653</v>
      </c>
      <c r="O74" s="232">
        <f t="shared" si="7"/>
        <v>0</v>
      </c>
      <c r="P74" s="232">
        <f t="shared" si="8"/>
        <v>0</v>
      </c>
      <c r="Q74" s="232">
        <f t="shared" si="9"/>
        <v>0</v>
      </c>
      <c r="R74" s="232">
        <f t="shared" si="10"/>
        <v>-30</v>
      </c>
      <c r="S74" s="233">
        <v>29</v>
      </c>
      <c r="T74" s="234">
        <f t="shared" si="11"/>
        <v>0</v>
      </c>
      <c r="U74" s="234">
        <f t="shared" si="12"/>
        <v>-32650.199999999997</v>
      </c>
      <c r="V74" s="233">
        <f t="shared" si="13"/>
        <v>129</v>
      </c>
    </row>
    <row r="75" spans="1:22" s="230" customFormat="1" ht="15">
      <c r="A75" s="225" t="s">
        <v>250</v>
      </c>
      <c r="B75" s="226">
        <v>42646</v>
      </c>
      <c r="C75" s="225" t="s">
        <v>251</v>
      </c>
      <c r="D75" s="227">
        <v>300.62</v>
      </c>
      <c r="K75" s="146">
        <v>42653</v>
      </c>
      <c r="L75" s="231"/>
      <c r="M75" s="146">
        <v>42653</v>
      </c>
      <c r="N75" s="146">
        <v>42653</v>
      </c>
      <c r="O75" s="232">
        <f t="shared" si="7"/>
        <v>0</v>
      </c>
      <c r="P75" s="232">
        <f t="shared" si="8"/>
        <v>0</v>
      </c>
      <c r="Q75" s="232">
        <f t="shared" si="9"/>
        <v>0</v>
      </c>
      <c r="R75" s="232">
        <f t="shared" si="10"/>
        <v>-30</v>
      </c>
      <c r="S75" s="233">
        <v>29</v>
      </c>
      <c r="T75" s="234">
        <f t="shared" si="11"/>
        <v>0</v>
      </c>
      <c r="U75" s="234">
        <f t="shared" si="12"/>
        <v>-9018.6</v>
      </c>
      <c r="V75" s="233">
        <f t="shared" si="13"/>
        <v>129</v>
      </c>
    </row>
    <row r="76" spans="1:22" s="230" customFormat="1" ht="15">
      <c r="A76" s="225" t="s">
        <v>252</v>
      </c>
      <c r="B76" s="226">
        <v>42646</v>
      </c>
      <c r="C76" s="225" t="s">
        <v>253</v>
      </c>
      <c r="D76" s="227">
        <v>72.65</v>
      </c>
      <c r="K76" s="146">
        <v>42653</v>
      </c>
      <c r="L76" s="231"/>
      <c r="M76" s="146">
        <v>42653</v>
      </c>
      <c r="N76" s="146">
        <v>42653</v>
      </c>
      <c r="O76" s="232">
        <f t="shared" si="7"/>
        <v>0</v>
      </c>
      <c r="P76" s="232">
        <f t="shared" si="8"/>
        <v>0</v>
      </c>
      <c r="Q76" s="232">
        <f t="shared" si="9"/>
        <v>0</v>
      </c>
      <c r="R76" s="232">
        <f t="shared" si="10"/>
        <v>-30</v>
      </c>
      <c r="S76" s="233">
        <v>29</v>
      </c>
      <c r="T76" s="234">
        <f t="shared" si="11"/>
        <v>0</v>
      </c>
      <c r="U76" s="234">
        <f t="shared" si="12"/>
        <v>-2179.5</v>
      </c>
      <c r="V76" s="233">
        <f t="shared" si="13"/>
        <v>129</v>
      </c>
    </row>
    <row r="77" spans="1:22" s="230" customFormat="1" ht="15">
      <c r="A77" s="225" t="s">
        <v>254</v>
      </c>
      <c r="B77" s="226">
        <v>42684</v>
      </c>
      <c r="C77" s="225" t="s">
        <v>255</v>
      </c>
      <c r="D77" s="227">
        <v>769.56</v>
      </c>
      <c r="K77" s="146">
        <v>42688</v>
      </c>
      <c r="L77" s="231"/>
      <c r="M77" s="146">
        <v>42688</v>
      </c>
      <c r="N77" s="146">
        <v>42688</v>
      </c>
      <c r="O77" s="232">
        <f t="shared" si="7"/>
        <v>0</v>
      </c>
      <c r="P77" s="232">
        <f t="shared" si="8"/>
        <v>0</v>
      </c>
      <c r="Q77" s="232">
        <f t="shared" si="9"/>
        <v>0</v>
      </c>
      <c r="R77" s="232">
        <f t="shared" si="10"/>
        <v>-30</v>
      </c>
      <c r="S77" s="233">
        <v>69</v>
      </c>
      <c r="T77" s="234">
        <f t="shared" si="11"/>
        <v>0</v>
      </c>
      <c r="U77" s="234">
        <f t="shared" si="12"/>
        <v>-23086.8</v>
      </c>
      <c r="V77" s="233">
        <f t="shared" si="13"/>
        <v>169</v>
      </c>
    </row>
    <row r="78" spans="1:22" s="230" customFormat="1" ht="15">
      <c r="A78" s="225" t="s">
        <v>256</v>
      </c>
      <c r="B78" s="226">
        <v>42677</v>
      </c>
      <c r="C78" s="225" t="s">
        <v>257</v>
      </c>
      <c r="D78" s="227">
        <v>43.56</v>
      </c>
      <c r="K78" s="146">
        <v>42681</v>
      </c>
      <c r="L78" s="231"/>
      <c r="M78" s="146">
        <v>42681</v>
      </c>
      <c r="N78" s="146">
        <v>42681</v>
      </c>
      <c r="O78" s="232">
        <f t="shared" si="7"/>
        <v>0</v>
      </c>
      <c r="P78" s="232">
        <f t="shared" si="8"/>
        <v>0</v>
      </c>
      <c r="Q78" s="232">
        <f t="shared" si="9"/>
        <v>0</v>
      </c>
      <c r="R78" s="232">
        <f t="shared" si="10"/>
        <v>-30</v>
      </c>
      <c r="S78" s="233">
        <v>21</v>
      </c>
      <c r="T78" s="234">
        <f t="shared" si="11"/>
        <v>0</v>
      </c>
      <c r="U78" s="234">
        <f t="shared" si="12"/>
        <v>-1306.8000000000002</v>
      </c>
      <c r="V78" s="233">
        <f t="shared" si="13"/>
        <v>121</v>
      </c>
    </row>
    <row r="79" spans="1:22" s="230" customFormat="1" ht="15">
      <c r="A79" s="225" t="s">
        <v>258</v>
      </c>
      <c r="B79" s="226">
        <v>42677</v>
      </c>
      <c r="C79" s="225" t="s">
        <v>259</v>
      </c>
      <c r="D79" s="227">
        <v>72.25</v>
      </c>
      <c r="K79" s="146">
        <v>42697</v>
      </c>
      <c r="L79" s="231"/>
      <c r="M79" s="146">
        <v>42704</v>
      </c>
      <c r="N79" s="146">
        <v>42704</v>
      </c>
      <c r="O79" s="232">
        <f t="shared" si="7"/>
        <v>7</v>
      </c>
      <c r="P79" s="232">
        <f t="shared" si="8"/>
        <v>0</v>
      </c>
      <c r="Q79" s="232">
        <f t="shared" si="9"/>
        <v>7</v>
      </c>
      <c r="R79" s="232">
        <f t="shared" si="10"/>
        <v>-23</v>
      </c>
      <c r="S79" s="233">
        <v>22</v>
      </c>
      <c r="T79" s="234">
        <f t="shared" si="11"/>
        <v>0</v>
      </c>
      <c r="U79" s="234">
        <f t="shared" si="12"/>
        <v>-1661.75</v>
      </c>
      <c r="V79" s="233">
        <f t="shared" si="13"/>
        <v>122</v>
      </c>
    </row>
    <row r="80" spans="1:22" s="230" customFormat="1" ht="15">
      <c r="A80" s="225" t="s">
        <v>260</v>
      </c>
      <c r="B80" s="226">
        <v>42674</v>
      </c>
      <c r="C80" s="225" t="s">
        <v>261</v>
      </c>
      <c r="D80" s="227">
        <v>1176.29</v>
      </c>
      <c r="K80" s="146">
        <v>42697</v>
      </c>
      <c r="L80" s="231"/>
      <c r="M80" s="146">
        <v>42706</v>
      </c>
      <c r="N80" s="146">
        <v>42706</v>
      </c>
      <c r="O80" s="232">
        <f t="shared" si="7"/>
        <v>9</v>
      </c>
      <c r="P80" s="232">
        <f t="shared" si="8"/>
        <v>0</v>
      </c>
      <c r="Q80" s="232">
        <f t="shared" si="9"/>
        <v>9</v>
      </c>
      <c r="R80" s="232">
        <f t="shared" si="10"/>
        <v>-21</v>
      </c>
      <c r="S80" s="233">
        <v>22</v>
      </c>
      <c r="T80" s="234">
        <f t="shared" si="11"/>
        <v>0</v>
      </c>
      <c r="U80" s="234">
        <f t="shared" si="12"/>
        <v>-24702.09</v>
      </c>
      <c r="V80" s="233">
        <f t="shared" si="13"/>
        <v>122</v>
      </c>
    </row>
    <row r="81" spans="1:22" s="230" customFormat="1" ht="15">
      <c r="A81" s="225" t="s">
        <v>262</v>
      </c>
      <c r="B81" s="226">
        <v>42658</v>
      </c>
      <c r="C81" s="225" t="s">
        <v>263</v>
      </c>
      <c r="D81" s="227">
        <v>182</v>
      </c>
      <c r="K81" s="146">
        <v>42697</v>
      </c>
      <c r="L81" s="231"/>
      <c r="M81" s="146">
        <v>42704</v>
      </c>
      <c r="N81" s="146">
        <v>42704</v>
      </c>
      <c r="O81" s="232">
        <f t="shared" si="7"/>
        <v>7</v>
      </c>
      <c r="P81" s="232">
        <f t="shared" si="8"/>
        <v>0</v>
      </c>
      <c r="Q81" s="232">
        <f t="shared" si="9"/>
        <v>7</v>
      </c>
      <c r="R81" s="232">
        <f t="shared" si="10"/>
        <v>-23</v>
      </c>
      <c r="S81" s="233">
        <v>22</v>
      </c>
      <c r="T81" s="234">
        <f t="shared" si="11"/>
        <v>0</v>
      </c>
      <c r="U81" s="234">
        <f t="shared" si="12"/>
        <v>-4186</v>
      </c>
      <c r="V81" s="233">
        <f t="shared" si="13"/>
        <v>122</v>
      </c>
    </row>
    <row r="82" spans="1:22" s="230" customFormat="1" ht="15">
      <c r="A82" s="225" t="s">
        <v>264</v>
      </c>
      <c r="B82" s="226">
        <v>42672</v>
      </c>
      <c r="C82" s="225" t="s">
        <v>265</v>
      </c>
      <c r="D82" s="227">
        <v>605</v>
      </c>
      <c r="K82" s="146">
        <v>42697</v>
      </c>
      <c r="L82" s="231"/>
      <c r="M82" s="146">
        <v>42704</v>
      </c>
      <c r="N82" s="146">
        <v>42704</v>
      </c>
      <c r="O82" s="232">
        <f t="shared" si="7"/>
        <v>7</v>
      </c>
      <c r="P82" s="232">
        <f t="shared" si="8"/>
        <v>0</v>
      </c>
      <c r="Q82" s="232">
        <f t="shared" si="9"/>
        <v>7</v>
      </c>
      <c r="R82" s="232">
        <f t="shared" si="10"/>
        <v>-23</v>
      </c>
      <c r="S82" s="233">
        <v>29</v>
      </c>
      <c r="T82" s="234">
        <f t="shared" si="11"/>
        <v>0</v>
      </c>
      <c r="U82" s="234">
        <f t="shared" si="12"/>
        <v>-13915</v>
      </c>
      <c r="V82" s="233">
        <f t="shared" si="13"/>
        <v>129</v>
      </c>
    </row>
    <row r="83" spans="1:22" s="230" customFormat="1" ht="15">
      <c r="A83" s="225" t="s">
        <v>266</v>
      </c>
      <c r="B83" s="226">
        <v>42662</v>
      </c>
      <c r="C83" s="225" t="s">
        <v>267</v>
      </c>
      <c r="D83" s="227">
        <v>356.95</v>
      </c>
      <c r="K83" s="146">
        <v>42697</v>
      </c>
      <c r="L83" s="231"/>
      <c r="M83" s="146">
        <v>42704</v>
      </c>
      <c r="N83" s="146">
        <v>42704</v>
      </c>
      <c r="O83" s="232">
        <f t="shared" si="7"/>
        <v>7</v>
      </c>
      <c r="P83" s="232">
        <f t="shared" si="8"/>
        <v>0</v>
      </c>
      <c r="Q83" s="232">
        <f t="shared" si="9"/>
        <v>7</v>
      </c>
      <c r="R83" s="232">
        <f t="shared" si="10"/>
        <v>-23</v>
      </c>
      <c r="S83" s="233">
        <v>29</v>
      </c>
      <c r="T83" s="234">
        <f t="shared" si="11"/>
        <v>0</v>
      </c>
      <c r="U83" s="234">
        <f t="shared" si="12"/>
        <v>-8209.85</v>
      </c>
      <c r="V83" s="233">
        <f t="shared" si="13"/>
        <v>129</v>
      </c>
    </row>
    <row r="84" spans="1:22" s="230" customFormat="1" ht="15">
      <c r="A84" s="225" t="s">
        <v>268</v>
      </c>
      <c r="B84" s="226">
        <v>42660</v>
      </c>
      <c r="C84" s="225" t="s">
        <v>269</v>
      </c>
      <c r="D84" s="227">
        <v>360.59</v>
      </c>
      <c r="K84" s="146">
        <v>42662</v>
      </c>
      <c r="L84" s="231"/>
      <c r="M84" s="146">
        <v>42662</v>
      </c>
      <c r="N84" s="146">
        <v>42662</v>
      </c>
      <c r="O84" s="232">
        <f t="shared" si="7"/>
        <v>0</v>
      </c>
      <c r="P84" s="232">
        <f t="shared" si="8"/>
        <v>0</v>
      </c>
      <c r="Q84" s="232">
        <f t="shared" si="9"/>
        <v>0</v>
      </c>
      <c r="R84" s="232">
        <f t="shared" si="10"/>
        <v>-30</v>
      </c>
      <c r="S84" s="233">
        <v>29</v>
      </c>
      <c r="T84" s="234">
        <f t="shared" si="11"/>
        <v>0</v>
      </c>
      <c r="U84" s="234">
        <f t="shared" si="12"/>
        <v>-10817.699999999999</v>
      </c>
      <c r="V84" s="233">
        <f t="shared" si="13"/>
        <v>129</v>
      </c>
    </row>
    <row r="85" spans="1:22" s="230" customFormat="1" ht="15">
      <c r="A85" s="225" t="s">
        <v>270</v>
      </c>
      <c r="B85" s="226">
        <v>42660</v>
      </c>
      <c r="C85" s="225" t="s">
        <v>271</v>
      </c>
      <c r="D85" s="227">
        <v>398.43</v>
      </c>
      <c r="K85" s="146">
        <v>42662</v>
      </c>
      <c r="L85" s="231"/>
      <c r="M85" s="146">
        <v>42662</v>
      </c>
      <c r="N85" s="146">
        <v>42662</v>
      </c>
      <c r="O85" s="232">
        <f t="shared" si="7"/>
        <v>0</v>
      </c>
      <c r="P85" s="232">
        <f t="shared" si="8"/>
        <v>0</v>
      </c>
      <c r="Q85" s="232">
        <f t="shared" si="9"/>
        <v>0</v>
      </c>
      <c r="R85" s="232">
        <f t="shared" si="10"/>
        <v>-30</v>
      </c>
      <c r="S85" s="233">
        <v>29</v>
      </c>
      <c r="T85" s="234">
        <f t="shared" si="11"/>
        <v>0</v>
      </c>
      <c r="U85" s="234">
        <f t="shared" si="12"/>
        <v>-11952.9</v>
      </c>
      <c r="V85" s="233">
        <f t="shared" si="13"/>
        <v>129</v>
      </c>
    </row>
    <row r="86" spans="1:22" s="230" customFormat="1" ht="15">
      <c r="A86" s="225" t="s">
        <v>272</v>
      </c>
      <c r="B86" s="226">
        <v>42660</v>
      </c>
      <c r="C86" s="225" t="s">
        <v>273</v>
      </c>
      <c r="D86" s="227">
        <v>453.41</v>
      </c>
      <c r="K86" s="146">
        <v>42662</v>
      </c>
      <c r="L86" s="231"/>
      <c r="M86" s="146">
        <v>42662</v>
      </c>
      <c r="N86" s="146">
        <v>42662</v>
      </c>
      <c r="O86" s="232">
        <f t="shared" si="7"/>
        <v>0</v>
      </c>
      <c r="P86" s="232">
        <f t="shared" si="8"/>
        <v>0</v>
      </c>
      <c r="Q86" s="232">
        <f t="shared" si="9"/>
        <v>0</v>
      </c>
      <c r="R86" s="232">
        <f t="shared" si="10"/>
        <v>-30</v>
      </c>
      <c r="S86" s="233">
        <v>29</v>
      </c>
      <c r="T86" s="234">
        <f t="shared" si="11"/>
        <v>0</v>
      </c>
      <c r="U86" s="234">
        <f t="shared" si="12"/>
        <v>-13602.300000000001</v>
      </c>
      <c r="V86" s="233">
        <f t="shared" si="13"/>
        <v>129</v>
      </c>
    </row>
    <row r="87" spans="1:22" s="230" customFormat="1" ht="15">
      <c r="A87" s="225" t="s">
        <v>274</v>
      </c>
      <c r="B87" s="226">
        <v>42674</v>
      </c>
      <c r="C87" s="225" t="s">
        <v>275</v>
      </c>
      <c r="D87" s="227">
        <v>259.8</v>
      </c>
      <c r="K87" s="146">
        <v>42698</v>
      </c>
      <c r="L87" s="231"/>
      <c r="M87" s="146">
        <v>42704</v>
      </c>
      <c r="N87" s="146">
        <v>42704</v>
      </c>
      <c r="O87" s="232">
        <f t="shared" si="7"/>
        <v>6</v>
      </c>
      <c r="P87" s="232">
        <f t="shared" si="8"/>
        <v>0</v>
      </c>
      <c r="Q87" s="232">
        <f t="shared" si="9"/>
        <v>6</v>
      </c>
      <c r="R87" s="232">
        <f t="shared" si="10"/>
        <v>-24</v>
      </c>
      <c r="S87" s="233">
        <v>29</v>
      </c>
      <c r="T87" s="234">
        <f t="shared" si="11"/>
        <v>0</v>
      </c>
      <c r="U87" s="234">
        <f t="shared" si="12"/>
        <v>-6235.200000000001</v>
      </c>
      <c r="V87" s="233">
        <f t="shared" si="13"/>
        <v>129</v>
      </c>
    </row>
    <row r="88" spans="1:22" s="230" customFormat="1" ht="15">
      <c r="A88" s="225" t="s">
        <v>276</v>
      </c>
      <c r="B88" s="226">
        <v>42674</v>
      </c>
      <c r="C88" s="225" t="s">
        <v>277</v>
      </c>
      <c r="D88" s="227">
        <v>1668.35</v>
      </c>
      <c r="K88" s="146">
        <v>42674</v>
      </c>
      <c r="L88" s="231"/>
      <c r="M88" s="146">
        <v>42674</v>
      </c>
      <c r="N88" s="146">
        <v>42674</v>
      </c>
      <c r="O88" s="232">
        <f t="shared" si="7"/>
        <v>0</v>
      </c>
      <c r="P88" s="232">
        <f t="shared" si="8"/>
        <v>0</v>
      </c>
      <c r="Q88" s="232">
        <f t="shared" si="9"/>
        <v>0</v>
      </c>
      <c r="R88" s="232">
        <f t="shared" si="10"/>
        <v>-30</v>
      </c>
      <c r="S88" s="233">
        <v>29</v>
      </c>
      <c r="T88" s="234">
        <f t="shared" si="11"/>
        <v>0</v>
      </c>
      <c r="U88" s="234">
        <f t="shared" si="12"/>
        <v>-50050.5</v>
      </c>
      <c r="V88" s="233">
        <f t="shared" si="13"/>
        <v>129</v>
      </c>
    </row>
    <row r="89" spans="1:22" s="230" customFormat="1" ht="15">
      <c r="A89" s="225" t="s">
        <v>278</v>
      </c>
      <c r="B89" s="226">
        <v>42674</v>
      </c>
      <c r="C89" s="225" t="s">
        <v>279</v>
      </c>
      <c r="D89" s="227">
        <v>67.97</v>
      </c>
      <c r="K89" s="146">
        <v>42683</v>
      </c>
      <c r="L89" s="231"/>
      <c r="M89" s="146">
        <v>42683</v>
      </c>
      <c r="N89" s="146">
        <v>42683</v>
      </c>
      <c r="O89" s="232">
        <f t="shared" si="7"/>
        <v>0</v>
      </c>
      <c r="P89" s="232">
        <f t="shared" si="8"/>
        <v>0</v>
      </c>
      <c r="Q89" s="232">
        <f t="shared" si="9"/>
        <v>0</v>
      </c>
      <c r="R89" s="232">
        <f t="shared" si="10"/>
        <v>-30</v>
      </c>
      <c r="S89" s="233">
        <v>29</v>
      </c>
      <c r="T89" s="234">
        <f t="shared" si="11"/>
        <v>0</v>
      </c>
      <c r="U89" s="234">
        <f t="shared" si="12"/>
        <v>-2039.1</v>
      </c>
      <c r="V89" s="233">
        <f t="shared" si="13"/>
        <v>129</v>
      </c>
    </row>
    <row r="90" spans="1:22" s="230" customFormat="1" ht="15">
      <c r="A90" s="225" t="s">
        <v>280</v>
      </c>
      <c r="B90" s="226">
        <v>42685</v>
      </c>
      <c r="C90" s="225" t="s">
        <v>281</v>
      </c>
      <c r="D90" s="227">
        <v>960.14</v>
      </c>
      <c r="K90" s="146">
        <v>42688</v>
      </c>
      <c r="L90" s="231"/>
      <c r="M90" s="146">
        <v>42688</v>
      </c>
      <c r="N90" s="146">
        <v>42688</v>
      </c>
      <c r="O90" s="232">
        <f t="shared" si="7"/>
        <v>0</v>
      </c>
      <c r="P90" s="232">
        <f t="shared" si="8"/>
        <v>0</v>
      </c>
      <c r="Q90" s="232">
        <f t="shared" si="9"/>
        <v>0</v>
      </c>
      <c r="R90" s="232">
        <f t="shared" si="10"/>
        <v>-30</v>
      </c>
      <c r="S90" s="233">
        <v>29</v>
      </c>
      <c r="T90" s="234">
        <f t="shared" si="11"/>
        <v>0</v>
      </c>
      <c r="U90" s="234">
        <f t="shared" si="12"/>
        <v>-28804.2</v>
      </c>
      <c r="V90" s="233">
        <f t="shared" si="13"/>
        <v>129</v>
      </c>
    </row>
    <row r="91" spans="1:22" s="230" customFormat="1" ht="15">
      <c r="A91" s="225" t="s">
        <v>282</v>
      </c>
      <c r="B91" s="226">
        <v>42688</v>
      </c>
      <c r="C91" s="225" t="s">
        <v>283</v>
      </c>
      <c r="D91" s="227">
        <v>484</v>
      </c>
      <c r="K91" s="146">
        <v>42688</v>
      </c>
      <c r="L91" s="231"/>
      <c r="M91" s="146">
        <v>42688</v>
      </c>
      <c r="N91" s="146">
        <v>42688</v>
      </c>
      <c r="O91" s="232">
        <f t="shared" si="7"/>
        <v>0</v>
      </c>
      <c r="P91" s="232">
        <f t="shared" si="8"/>
        <v>0</v>
      </c>
      <c r="Q91" s="232">
        <f t="shared" si="9"/>
        <v>0</v>
      </c>
      <c r="R91" s="232">
        <f t="shared" si="10"/>
        <v>-30</v>
      </c>
      <c r="S91" s="233">
        <v>29</v>
      </c>
      <c r="T91" s="234">
        <f t="shared" si="11"/>
        <v>0</v>
      </c>
      <c r="U91" s="234">
        <f t="shared" si="12"/>
        <v>-14520</v>
      </c>
      <c r="V91" s="233">
        <f t="shared" si="13"/>
        <v>129</v>
      </c>
    </row>
    <row r="92" spans="1:22" s="230" customFormat="1" ht="15">
      <c r="A92" s="225" t="s">
        <v>284</v>
      </c>
      <c r="B92" s="226">
        <v>42684</v>
      </c>
      <c r="C92" s="225" t="s">
        <v>285</v>
      </c>
      <c r="D92" s="227">
        <v>96.8</v>
      </c>
      <c r="K92" s="146">
        <v>42688</v>
      </c>
      <c r="L92" s="231"/>
      <c r="M92" s="146">
        <v>42688</v>
      </c>
      <c r="N92" s="146">
        <v>42688</v>
      </c>
      <c r="O92" s="232">
        <f t="shared" si="7"/>
        <v>0</v>
      </c>
      <c r="P92" s="232">
        <f t="shared" si="8"/>
        <v>0</v>
      </c>
      <c r="Q92" s="232">
        <f t="shared" si="9"/>
        <v>0</v>
      </c>
      <c r="R92" s="232">
        <f t="shared" si="10"/>
        <v>-30</v>
      </c>
      <c r="S92" s="233">
        <v>29</v>
      </c>
      <c r="T92" s="234">
        <f t="shared" si="11"/>
        <v>0</v>
      </c>
      <c r="U92" s="234">
        <f t="shared" si="12"/>
        <v>-2904</v>
      </c>
      <c r="V92" s="233">
        <f t="shared" si="13"/>
        <v>129</v>
      </c>
    </row>
    <row r="93" spans="1:22" s="230" customFormat="1" ht="15">
      <c r="A93" s="225" t="s">
        <v>286</v>
      </c>
      <c r="B93" s="226">
        <v>42681</v>
      </c>
      <c r="C93" s="225" t="s">
        <v>287</v>
      </c>
      <c r="D93" s="227">
        <v>435.6</v>
      </c>
      <c r="K93" s="146">
        <v>42688</v>
      </c>
      <c r="L93" s="231"/>
      <c r="M93" s="146">
        <v>42688</v>
      </c>
      <c r="N93" s="146">
        <v>42688</v>
      </c>
      <c r="O93" s="232">
        <f t="shared" si="7"/>
        <v>0</v>
      </c>
      <c r="P93" s="232">
        <f t="shared" si="8"/>
        <v>0</v>
      </c>
      <c r="Q93" s="232">
        <f t="shared" si="9"/>
        <v>0</v>
      </c>
      <c r="R93" s="232">
        <f t="shared" si="10"/>
        <v>-30</v>
      </c>
      <c r="S93" s="233">
        <v>29</v>
      </c>
      <c r="T93" s="234">
        <f t="shared" si="11"/>
        <v>0</v>
      </c>
      <c r="U93" s="234">
        <f t="shared" si="12"/>
        <v>-13068</v>
      </c>
      <c r="V93" s="233">
        <f t="shared" si="13"/>
        <v>129</v>
      </c>
    </row>
    <row r="94" spans="1:22" s="230" customFormat="1" ht="15">
      <c r="A94" s="225" t="s">
        <v>288</v>
      </c>
      <c r="B94" s="226">
        <v>42684</v>
      </c>
      <c r="C94" s="225" t="s">
        <v>289</v>
      </c>
      <c r="D94" s="227">
        <v>1400</v>
      </c>
      <c r="K94" s="146">
        <v>42698</v>
      </c>
      <c r="L94" s="231"/>
      <c r="M94" s="146">
        <v>42704</v>
      </c>
      <c r="N94" s="146">
        <v>42704</v>
      </c>
      <c r="O94" s="232">
        <f t="shared" si="7"/>
        <v>6</v>
      </c>
      <c r="P94" s="232">
        <f t="shared" si="8"/>
        <v>0</v>
      </c>
      <c r="Q94" s="232">
        <f t="shared" si="9"/>
        <v>6</v>
      </c>
      <c r="R94" s="232">
        <f t="shared" si="10"/>
        <v>-24</v>
      </c>
      <c r="S94" s="233">
        <v>29</v>
      </c>
      <c r="T94" s="234">
        <f t="shared" si="11"/>
        <v>0</v>
      </c>
      <c r="U94" s="234">
        <f t="shared" si="12"/>
        <v>-33600</v>
      </c>
      <c r="V94" s="233">
        <f t="shared" si="13"/>
        <v>129</v>
      </c>
    </row>
    <row r="95" spans="1:22" s="230" customFormat="1" ht="15">
      <c r="A95" s="225" t="s">
        <v>290</v>
      </c>
      <c r="B95" s="226">
        <v>42669</v>
      </c>
      <c r="C95" s="225" t="s">
        <v>291</v>
      </c>
      <c r="D95" s="227">
        <v>54.01</v>
      </c>
      <c r="K95" s="146">
        <v>42698</v>
      </c>
      <c r="L95" s="231"/>
      <c r="M95" s="146">
        <v>42704</v>
      </c>
      <c r="N95" s="146">
        <v>42704</v>
      </c>
      <c r="O95" s="232">
        <f t="shared" si="7"/>
        <v>6</v>
      </c>
      <c r="P95" s="232">
        <f t="shared" si="8"/>
        <v>0</v>
      </c>
      <c r="Q95" s="232">
        <f t="shared" si="9"/>
        <v>6</v>
      </c>
      <c r="R95" s="232">
        <f t="shared" si="10"/>
        <v>-24</v>
      </c>
      <c r="S95" s="233">
        <v>22</v>
      </c>
      <c r="T95" s="234">
        <f t="shared" si="11"/>
        <v>0</v>
      </c>
      <c r="U95" s="234">
        <f t="shared" si="12"/>
        <v>-1296.24</v>
      </c>
      <c r="V95" s="233">
        <f t="shared" si="13"/>
        <v>122</v>
      </c>
    </row>
    <row r="96" spans="1:22" s="230" customFormat="1" ht="15">
      <c r="A96" s="225" t="s">
        <v>292</v>
      </c>
      <c r="B96" s="226">
        <v>42681</v>
      </c>
      <c r="C96" s="225" t="s">
        <v>293</v>
      </c>
      <c r="D96" s="227">
        <v>37.01</v>
      </c>
      <c r="K96" s="146">
        <v>42698</v>
      </c>
      <c r="L96" s="231"/>
      <c r="M96" s="146">
        <v>42704</v>
      </c>
      <c r="N96" s="146">
        <v>42704</v>
      </c>
      <c r="O96" s="232">
        <f t="shared" si="7"/>
        <v>6</v>
      </c>
      <c r="P96" s="232">
        <f t="shared" si="8"/>
        <v>0</v>
      </c>
      <c r="Q96" s="232">
        <f t="shared" si="9"/>
        <v>6</v>
      </c>
      <c r="R96" s="232">
        <f t="shared" si="10"/>
        <v>-24</v>
      </c>
      <c r="S96" s="233">
        <v>22</v>
      </c>
      <c r="T96" s="234">
        <f t="shared" si="11"/>
        <v>0</v>
      </c>
      <c r="U96" s="234">
        <f t="shared" si="12"/>
        <v>-888.24</v>
      </c>
      <c r="V96" s="233">
        <f t="shared" si="13"/>
        <v>122</v>
      </c>
    </row>
    <row r="97" spans="1:22" s="230" customFormat="1" ht="15">
      <c r="A97" s="225" t="s">
        <v>294</v>
      </c>
      <c r="B97" s="226">
        <v>42688</v>
      </c>
      <c r="C97" s="225" t="s">
        <v>295</v>
      </c>
      <c r="D97" s="227">
        <v>37.51</v>
      </c>
      <c r="K97" s="146">
        <v>42698</v>
      </c>
      <c r="L97" s="231"/>
      <c r="M97" s="146">
        <v>42704</v>
      </c>
      <c r="N97" s="146">
        <v>42704</v>
      </c>
      <c r="O97" s="232">
        <f t="shared" si="7"/>
        <v>6</v>
      </c>
      <c r="P97" s="232">
        <f t="shared" si="8"/>
        <v>0</v>
      </c>
      <c r="Q97" s="232">
        <f t="shared" si="9"/>
        <v>6</v>
      </c>
      <c r="R97" s="232">
        <f t="shared" si="10"/>
        <v>-24</v>
      </c>
      <c r="S97" s="233">
        <v>22</v>
      </c>
      <c r="T97" s="234">
        <f t="shared" si="11"/>
        <v>0</v>
      </c>
      <c r="U97" s="234">
        <f t="shared" si="12"/>
        <v>-900.24</v>
      </c>
      <c r="V97" s="233">
        <f t="shared" si="13"/>
        <v>122</v>
      </c>
    </row>
    <row r="98" spans="1:22" s="230" customFormat="1" ht="15">
      <c r="A98" s="225" t="s">
        <v>296</v>
      </c>
      <c r="B98" s="226">
        <v>42685</v>
      </c>
      <c r="C98" s="225" t="s">
        <v>297</v>
      </c>
      <c r="D98" s="227">
        <v>90.75</v>
      </c>
      <c r="K98" s="146">
        <v>42698</v>
      </c>
      <c r="L98" s="231"/>
      <c r="M98" s="146">
        <v>42704</v>
      </c>
      <c r="N98" s="146">
        <v>42704</v>
      </c>
      <c r="O98" s="232">
        <f t="shared" si="7"/>
        <v>6</v>
      </c>
      <c r="P98" s="232">
        <f t="shared" si="8"/>
        <v>0</v>
      </c>
      <c r="Q98" s="232">
        <f t="shared" si="9"/>
        <v>6</v>
      </c>
      <c r="R98" s="232">
        <f t="shared" si="10"/>
        <v>-24</v>
      </c>
      <c r="S98" s="233">
        <v>29</v>
      </c>
      <c r="T98" s="234">
        <f t="shared" si="11"/>
        <v>0</v>
      </c>
      <c r="U98" s="234">
        <f t="shared" si="12"/>
        <v>-2178</v>
      </c>
      <c r="V98" s="233">
        <f t="shared" si="13"/>
        <v>129</v>
      </c>
    </row>
    <row r="99" spans="1:22" s="230" customFormat="1" ht="15">
      <c r="A99" s="225" t="s">
        <v>298</v>
      </c>
      <c r="B99" s="226">
        <v>42681</v>
      </c>
      <c r="C99" s="225" t="s">
        <v>299</v>
      </c>
      <c r="D99" s="227">
        <v>92.12</v>
      </c>
      <c r="K99" s="146">
        <v>42698</v>
      </c>
      <c r="L99" s="231"/>
      <c r="M99" s="146">
        <v>42704</v>
      </c>
      <c r="N99" s="146">
        <v>42704</v>
      </c>
      <c r="O99" s="232">
        <f t="shared" si="7"/>
        <v>6</v>
      </c>
      <c r="P99" s="232">
        <f t="shared" si="8"/>
        <v>0</v>
      </c>
      <c r="Q99" s="232">
        <f t="shared" si="9"/>
        <v>6</v>
      </c>
      <c r="R99" s="232">
        <f t="shared" si="10"/>
        <v>-24</v>
      </c>
      <c r="S99" s="233">
        <v>29</v>
      </c>
      <c r="T99" s="234">
        <f t="shared" si="11"/>
        <v>0</v>
      </c>
      <c r="U99" s="234">
        <f t="shared" si="12"/>
        <v>-2210.88</v>
      </c>
      <c r="V99" s="233">
        <f t="shared" si="13"/>
        <v>129</v>
      </c>
    </row>
    <row r="100" spans="1:22" s="230" customFormat="1" ht="15">
      <c r="A100" s="225" t="s">
        <v>300</v>
      </c>
      <c r="B100" s="226">
        <v>42671</v>
      </c>
      <c r="C100" s="225" t="s">
        <v>301</v>
      </c>
      <c r="D100" s="227">
        <v>60.49</v>
      </c>
      <c r="K100" s="146">
        <v>42684</v>
      </c>
      <c r="L100" s="231"/>
      <c r="M100" s="146">
        <v>42684</v>
      </c>
      <c r="N100" s="146">
        <v>42684</v>
      </c>
      <c r="O100" s="232">
        <f t="shared" si="7"/>
        <v>0</v>
      </c>
      <c r="P100" s="232">
        <f t="shared" si="8"/>
        <v>0</v>
      </c>
      <c r="Q100" s="232">
        <f t="shared" si="9"/>
        <v>0</v>
      </c>
      <c r="R100" s="232">
        <f t="shared" si="10"/>
        <v>-30</v>
      </c>
      <c r="S100" s="233">
        <v>29</v>
      </c>
      <c r="T100" s="234">
        <f t="shared" si="11"/>
        <v>0</v>
      </c>
      <c r="U100" s="234">
        <f t="shared" si="12"/>
        <v>-1814.7</v>
      </c>
      <c r="V100" s="233">
        <f t="shared" si="13"/>
        <v>129</v>
      </c>
    </row>
    <row r="101" spans="1:22" s="230" customFormat="1" ht="15">
      <c r="A101" s="225" t="s">
        <v>302</v>
      </c>
      <c r="B101" s="226">
        <v>42669</v>
      </c>
      <c r="C101" s="225" t="s">
        <v>303</v>
      </c>
      <c r="D101" s="227">
        <v>270</v>
      </c>
      <c r="K101" s="146">
        <v>42699</v>
      </c>
      <c r="L101" s="231"/>
      <c r="M101" s="146">
        <v>42704</v>
      </c>
      <c r="N101" s="146">
        <v>42704</v>
      </c>
      <c r="O101" s="232">
        <f t="shared" si="7"/>
        <v>5</v>
      </c>
      <c r="P101" s="232">
        <f t="shared" si="8"/>
        <v>0</v>
      </c>
      <c r="Q101" s="232">
        <f t="shared" si="9"/>
        <v>5</v>
      </c>
      <c r="R101" s="232">
        <f t="shared" si="10"/>
        <v>-25</v>
      </c>
      <c r="S101" s="233">
        <v>29</v>
      </c>
      <c r="T101" s="234">
        <f t="shared" si="11"/>
        <v>0</v>
      </c>
      <c r="U101" s="234">
        <f t="shared" si="12"/>
        <v>-6750</v>
      </c>
      <c r="V101" s="233">
        <f t="shared" si="13"/>
        <v>129</v>
      </c>
    </row>
    <row r="102" spans="1:22" s="230" customFormat="1" ht="15">
      <c r="A102" s="225" t="s">
        <v>304</v>
      </c>
      <c r="B102" s="226">
        <v>42684</v>
      </c>
      <c r="C102" s="225" t="s">
        <v>305</v>
      </c>
      <c r="D102" s="227">
        <v>181.51</v>
      </c>
      <c r="K102" s="146">
        <v>42699</v>
      </c>
      <c r="L102" s="231"/>
      <c r="M102" s="146">
        <v>42704</v>
      </c>
      <c r="N102" s="146">
        <v>42704</v>
      </c>
      <c r="O102" s="232">
        <f t="shared" si="7"/>
        <v>5</v>
      </c>
      <c r="P102" s="232">
        <f t="shared" si="8"/>
        <v>0</v>
      </c>
      <c r="Q102" s="232">
        <f t="shared" si="9"/>
        <v>5</v>
      </c>
      <c r="R102" s="232">
        <f t="shared" si="10"/>
        <v>-25</v>
      </c>
      <c r="S102" s="233">
        <v>22</v>
      </c>
      <c r="T102" s="234">
        <f t="shared" si="11"/>
        <v>0</v>
      </c>
      <c r="U102" s="234">
        <f t="shared" si="12"/>
        <v>-4537.75</v>
      </c>
      <c r="V102" s="233">
        <f t="shared" si="13"/>
        <v>122</v>
      </c>
    </row>
    <row r="103" spans="1:22" s="230" customFormat="1" ht="15">
      <c r="A103" s="225" t="s">
        <v>306</v>
      </c>
      <c r="B103" s="226">
        <v>42691</v>
      </c>
      <c r="C103" s="225" t="s">
        <v>307</v>
      </c>
      <c r="D103" s="227">
        <v>61.85</v>
      </c>
      <c r="K103" s="146">
        <v>42699</v>
      </c>
      <c r="L103" s="231"/>
      <c r="M103" s="146">
        <v>42704</v>
      </c>
      <c r="N103" s="146">
        <v>42704</v>
      </c>
      <c r="O103" s="232">
        <f t="shared" si="7"/>
        <v>5</v>
      </c>
      <c r="P103" s="232">
        <f t="shared" si="8"/>
        <v>0</v>
      </c>
      <c r="Q103" s="232">
        <f t="shared" si="9"/>
        <v>5</v>
      </c>
      <c r="R103" s="232">
        <f t="shared" si="10"/>
        <v>-25</v>
      </c>
      <c r="S103" s="233">
        <v>22</v>
      </c>
      <c r="T103" s="234">
        <f t="shared" si="11"/>
        <v>0</v>
      </c>
      <c r="U103" s="234">
        <f t="shared" si="12"/>
        <v>-1546.25</v>
      </c>
      <c r="V103" s="233">
        <f t="shared" si="13"/>
        <v>122</v>
      </c>
    </row>
    <row r="104" spans="1:22" s="230" customFormat="1" ht="15">
      <c r="A104" s="225" t="s">
        <v>308</v>
      </c>
      <c r="B104" s="226">
        <v>42704</v>
      </c>
      <c r="C104" s="225" t="s">
        <v>309</v>
      </c>
      <c r="D104" s="227">
        <v>4320</v>
      </c>
      <c r="K104" s="146">
        <v>42703</v>
      </c>
      <c r="L104" s="231"/>
      <c r="M104" s="146">
        <v>42704</v>
      </c>
      <c r="N104" s="146">
        <v>42704</v>
      </c>
      <c r="O104" s="232">
        <f t="shared" si="7"/>
        <v>1</v>
      </c>
      <c r="P104" s="232">
        <f t="shared" si="8"/>
        <v>0</v>
      </c>
      <c r="Q104" s="232">
        <f t="shared" si="9"/>
        <v>1</v>
      </c>
      <c r="R104" s="232">
        <f t="shared" si="10"/>
        <v>-29</v>
      </c>
      <c r="S104" s="233">
        <v>29</v>
      </c>
      <c r="T104" s="234">
        <f t="shared" si="11"/>
        <v>0</v>
      </c>
      <c r="U104" s="234">
        <f t="shared" si="12"/>
        <v>-125280</v>
      </c>
      <c r="V104" s="233">
        <f t="shared" si="13"/>
        <v>129</v>
      </c>
    </row>
    <row r="105" spans="1:22" s="230" customFormat="1" ht="15">
      <c r="A105" s="225" t="s">
        <v>310</v>
      </c>
      <c r="B105" s="226">
        <v>42684</v>
      </c>
      <c r="C105" s="225" t="s">
        <v>311</v>
      </c>
      <c r="D105" s="227">
        <v>223.25</v>
      </c>
      <c r="K105" s="146">
        <v>42703</v>
      </c>
      <c r="L105" s="231"/>
      <c r="M105" s="146">
        <v>42704</v>
      </c>
      <c r="N105" s="146">
        <v>42704</v>
      </c>
      <c r="O105" s="232">
        <f t="shared" si="7"/>
        <v>1</v>
      </c>
      <c r="P105" s="232">
        <f t="shared" si="8"/>
        <v>0</v>
      </c>
      <c r="Q105" s="232">
        <f t="shared" si="9"/>
        <v>1</v>
      </c>
      <c r="R105" s="232">
        <f t="shared" si="10"/>
        <v>-29</v>
      </c>
      <c r="S105" s="233">
        <v>21</v>
      </c>
      <c r="T105" s="234">
        <f t="shared" si="11"/>
        <v>0</v>
      </c>
      <c r="U105" s="234">
        <f t="shared" si="12"/>
        <v>-6474.25</v>
      </c>
      <c r="V105" s="233">
        <f t="shared" si="13"/>
        <v>121</v>
      </c>
    </row>
    <row r="106" spans="1:22" s="230" customFormat="1" ht="15">
      <c r="A106" s="225" t="s">
        <v>312</v>
      </c>
      <c r="B106" s="226">
        <v>42688</v>
      </c>
      <c r="C106" s="225" t="s">
        <v>313</v>
      </c>
      <c r="D106" s="227">
        <v>759.99</v>
      </c>
      <c r="K106" s="146">
        <v>42703</v>
      </c>
      <c r="L106" s="231"/>
      <c r="M106" s="146">
        <v>42704</v>
      </c>
      <c r="N106" s="146">
        <v>42704</v>
      </c>
      <c r="O106" s="232">
        <f t="shared" si="7"/>
        <v>1</v>
      </c>
      <c r="P106" s="232">
        <f t="shared" si="8"/>
        <v>0</v>
      </c>
      <c r="Q106" s="232">
        <f t="shared" si="9"/>
        <v>1</v>
      </c>
      <c r="R106" s="232">
        <f t="shared" si="10"/>
        <v>-29</v>
      </c>
      <c r="S106" s="233">
        <v>29</v>
      </c>
      <c r="T106" s="234">
        <f t="shared" si="11"/>
        <v>0</v>
      </c>
      <c r="U106" s="234">
        <f t="shared" si="12"/>
        <v>-22039.71</v>
      </c>
      <c r="V106" s="233">
        <f t="shared" si="13"/>
        <v>129</v>
      </c>
    </row>
    <row r="107" spans="1:22" s="230" customFormat="1" ht="15">
      <c r="A107" s="225" t="s">
        <v>314</v>
      </c>
      <c r="B107" s="226">
        <v>42684</v>
      </c>
      <c r="C107" s="225" t="s">
        <v>315</v>
      </c>
      <c r="D107" s="227">
        <v>90</v>
      </c>
      <c r="K107" s="146">
        <v>42703</v>
      </c>
      <c r="L107" s="231"/>
      <c r="M107" s="146">
        <v>42704</v>
      </c>
      <c r="N107" s="146">
        <v>42704</v>
      </c>
      <c r="O107" s="232">
        <f t="shared" si="7"/>
        <v>1</v>
      </c>
      <c r="P107" s="232">
        <f t="shared" si="8"/>
        <v>0</v>
      </c>
      <c r="Q107" s="232">
        <f t="shared" si="9"/>
        <v>1</v>
      </c>
      <c r="R107" s="232">
        <f t="shared" si="10"/>
        <v>-29</v>
      </c>
      <c r="S107" s="233">
        <v>29</v>
      </c>
      <c r="T107" s="234">
        <f t="shared" si="11"/>
        <v>0</v>
      </c>
      <c r="U107" s="234">
        <f t="shared" si="12"/>
        <v>-2610</v>
      </c>
      <c r="V107" s="233">
        <f t="shared" si="13"/>
        <v>129</v>
      </c>
    </row>
    <row r="108" spans="1:22" s="230" customFormat="1" ht="15">
      <c r="A108" s="225" t="s">
        <v>316</v>
      </c>
      <c r="B108" s="226">
        <v>42697</v>
      </c>
      <c r="C108" s="225" t="s">
        <v>317</v>
      </c>
      <c r="D108" s="227">
        <v>136.8</v>
      </c>
      <c r="K108" s="146">
        <v>42703</v>
      </c>
      <c r="L108" s="231"/>
      <c r="M108" s="146">
        <v>42704</v>
      </c>
      <c r="N108" s="146">
        <v>42704</v>
      </c>
      <c r="O108" s="232">
        <f t="shared" si="7"/>
        <v>1</v>
      </c>
      <c r="P108" s="232">
        <f t="shared" si="8"/>
        <v>0</v>
      </c>
      <c r="Q108" s="232">
        <f t="shared" si="9"/>
        <v>1</v>
      </c>
      <c r="R108" s="232">
        <f t="shared" si="10"/>
        <v>-29</v>
      </c>
      <c r="S108" s="233">
        <v>29</v>
      </c>
      <c r="T108" s="234">
        <f t="shared" si="11"/>
        <v>0</v>
      </c>
      <c r="U108" s="234">
        <f t="shared" si="12"/>
        <v>-3967.2000000000003</v>
      </c>
      <c r="V108" s="233">
        <f t="shared" si="13"/>
        <v>129</v>
      </c>
    </row>
    <row r="109" spans="1:22" s="230" customFormat="1" ht="15">
      <c r="A109" s="225" t="s">
        <v>318</v>
      </c>
      <c r="B109" s="226">
        <v>42695</v>
      </c>
      <c r="C109" s="225" t="s">
        <v>319</v>
      </c>
      <c r="D109" s="227">
        <v>5148.55</v>
      </c>
      <c r="K109" s="146">
        <v>42703</v>
      </c>
      <c r="L109" s="231"/>
      <c r="M109" s="146">
        <v>42704</v>
      </c>
      <c r="N109" s="146">
        <v>42704</v>
      </c>
      <c r="O109" s="232">
        <f t="shared" si="7"/>
        <v>1</v>
      </c>
      <c r="P109" s="232">
        <f t="shared" si="8"/>
        <v>0</v>
      </c>
      <c r="Q109" s="232">
        <f t="shared" si="9"/>
        <v>1</v>
      </c>
      <c r="R109" s="232">
        <f t="shared" si="10"/>
        <v>-29</v>
      </c>
      <c r="S109" s="232">
        <v>29</v>
      </c>
      <c r="T109" s="234">
        <f t="shared" si="11"/>
        <v>0</v>
      </c>
      <c r="U109" s="234">
        <f t="shared" si="12"/>
        <v>-149307.95</v>
      </c>
      <c r="V109" s="233">
        <f t="shared" si="13"/>
        <v>129</v>
      </c>
    </row>
    <row r="110" spans="1:22" s="230" customFormat="1" ht="15">
      <c r="A110" s="225" t="s">
        <v>320</v>
      </c>
      <c r="B110" s="226">
        <v>42699</v>
      </c>
      <c r="C110" s="225" t="s">
        <v>321</v>
      </c>
      <c r="D110" s="227">
        <v>2000.01</v>
      </c>
      <c r="K110" s="146">
        <v>42703</v>
      </c>
      <c r="L110" s="231"/>
      <c r="M110" s="146">
        <v>42704</v>
      </c>
      <c r="N110" s="146">
        <v>42704</v>
      </c>
      <c r="O110" s="232">
        <f t="shared" si="7"/>
        <v>1</v>
      </c>
      <c r="P110" s="232">
        <f t="shared" si="8"/>
        <v>0</v>
      </c>
      <c r="Q110" s="232">
        <f t="shared" si="9"/>
        <v>1</v>
      </c>
      <c r="R110" s="232">
        <f t="shared" si="10"/>
        <v>-29</v>
      </c>
      <c r="S110" s="233">
        <v>29</v>
      </c>
      <c r="T110" s="234">
        <f t="shared" si="11"/>
        <v>0</v>
      </c>
      <c r="U110" s="234">
        <f t="shared" si="12"/>
        <v>-58000.29</v>
      </c>
      <c r="V110" s="233">
        <f t="shared" si="13"/>
        <v>129</v>
      </c>
    </row>
    <row r="111" spans="1:22" s="230" customFormat="1" ht="15">
      <c r="A111" s="225" t="s">
        <v>322</v>
      </c>
      <c r="B111" s="226">
        <v>42676</v>
      </c>
      <c r="C111" s="225" t="s">
        <v>323</v>
      </c>
      <c r="D111" s="227">
        <v>248.5</v>
      </c>
      <c r="K111" s="146">
        <v>42677</v>
      </c>
      <c r="L111" s="231"/>
      <c r="M111" s="146">
        <v>42677</v>
      </c>
      <c r="N111" s="146">
        <v>42677</v>
      </c>
      <c r="O111" s="232">
        <f t="shared" si="7"/>
        <v>0</v>
      </c>
      <c r="P111" s="232">
        <f t="shared" si="8"/>
        <v>0</v>
      </c>
      <c r="Q111" s="232">
        <f t="shared" si="9"/>
        <v>0</v>
      </c>
      <c r="R111" s="232">
        <f t="shared" si="10"/>
        <v>-30</v>
      </c>
      <c r="S111" s="233">
        <v>29</v>
      </c>
      <c r="T111" s="234">
        <f t="shared" si="11"/>
        <v>0</v>
      </c>
      <c r="U111" s="234">
        <f t="shared" si="12"/>
        <v>-7455</v>
      </c>
      <c r="V111" s="233">
        <f t="shared" si="13"/>
        <v>129</v>
      </c>
    </row>
    <row r="112" spans="1:22" s="230" customFormat="1" ht="15">
      <c r="A112" s="225" t="s">
        <v>324</v>
      </c>
      <c r="B112" s="226">
        <v>42689</v>
      </c>
      <c r="C112" s="225" t="s">
        <v>325</v>
      </c>
      <c r="D112" s="227">
        <v>20.38</v>
      </c>
      <c r="K112" s="146">
        <v>42697</v>
      </c>
      <c r="L112" s="231"/>
      <c r="M112" s="146">
        <v>42697</v>
      </c>
      <c r="N112" s="146">
        <v>42697</v>
      </c>
      <c r="O112" s="232">
        <f t="shared" si="7"/>
        <v>0</v>
      </c>
      <c r="P112" s="232">
        <f t="shared" si="8"/>
        <v>0</v>
      </c>
      <c r="Q112" s="232">
        <f t="shared" si="9"/>
        <v>0</v>
      </c>
      <c r="R112" s="232">
        <f t="shared" si="10"/>
        <v>-30</v>
      </c>
      <c r="S112" s="233">
        <v>29</v>
      </c>
      <c r="T112" s="234">
        <f t="shared" si="11"/>
        <v>0</v>
      </c>
      <c r="U112" s="234">
        <f t="shared" si="12"/>
        <v>-611.4</v>
      </c>
      <c r="V112" s="233">
        <f t="shared" si="13"/>
        <v>129</v>
      </c>
    </row>
    <row r="113" spans="1:22" s="230" customFormat="1" ht="15">
      <c r="A113" s="225" t="s">
        <v>326</v>
      </c>
      <c r="B113" s="226">
        <v>42674</v>
      </c>
      <c r="C113" s="225" t="s">
        <v>327</v>
      </c>
      <c r="D113" s="227">
        <v>743.28</v>
      </c>
      <c r="K113" s="146">
        <v>42716</v>
      </c>
      <c r="L113" s="231"/>
      <c r="M113" s="146">
        <v>42719</v>
      </c>
      <c r="N113" s="146">
        <v>42719</v>
      </c>
      <c r="O113" s="232">
        <f t="shared" si="7"/>
        <v>3</v>
      </c>
      <c r="P113" s="232">
        <f t="shared" si="8"/>
        <v>0</v>
      </c>
      <c r="Q113" s="232">
        <f t="shared" si="9"/>
        <v>3</v>
      </c>
      <c r="R113" s="232">
        <f t="shared" si="10"/>
        <v>-27</v>
      </c>
      <c r="S113" s="233">
        <v>29</v>
      </c>
      <c r="T113" s="234">
        <f t="shared" si="11"/>
        <v>0</v>
      </c>
      <c r="U113" s="234">
        <f t="shared" si="12"/>
        <v>-20068.559999999998</v>
      </c>
      <c r="V113" s="233">
        <f t="shared" si="13"/>
        <v>129</v>
      </c>
    </row>
    <row r="114" spans="1:22" s="230" customFormat="1" ht="15">
      <c r="A114" s="225" t="s">
        <v>328</v>
      </c>
      <c r="B114" s="226">
        <v>42704</v>
      </c>
      <c r="C114" s="225" t="s">
        <v>329</v>
      </c>
      <c r="D114" s="227">
        <v>100.79</v>
      </c>
      <c r="K114" s="146">
        <v>42711</v>
      </c>
      <c r="L114" s="231"/>
      <c r="M114" s="146">
        <v>42711</v>
      </c>
      <c r="N114" s="146">
        <v>42711</v>
      </c>
      <c r="O114" s="232">
        <f t="shared" si="7"/>
        <v>0</v>
      </c>
      <c r="P114" s="232">
        <f t="shared" si="8"/>
        <v>0</v>
      </c>
      <c r="Q114" s="232">
        <f t="shared" si="9"/>
        <v>0</v>
      </c>
      <c r="R114" s="232">
        <f t="shared" si="10"/>
        <v>-30</v>
      </c>
      <c r="S114" s="233">
        <v>29</v>
      </c>
      <c r="T114" s="234">
        <f t="shared" si="11"/>
        <v>0</v>
      </c>
      <c r="U114" s="234">
        <f t="shared" si="12"/>
        <v>-3023.7000000000003</v>
      </c>
      <c r="V114" s="233">
        <f t="shared" si="13"/>
        <v>129</v>
      </c>
    </row>
    <row r="115" spans="1:22" s="230" customFormat="1" ht="15">
      <c r="A115" s="225" t="s">
        <v>330</v>
      </c>
      <c r="B115" s="226">
        <v>42704</v>
      </c>
      <c r="C115" s="225" t="s">
        <v>331</v>
      </c>
      <c r="D115" s="227">
        <v>1807.5</v>
      </c>
      <c r="K115" s="146">
        <v>42704</v>
      </c>
      <c r="L115" s="231"/>
      <c r="M115" s="146">
        <v>42704</v>
      </c>
      <c r="N115" s="146">
        <v>42704</v>
      </c>
      <c r="O115" s="232">
        <f t="shared" si="7"/>
        <v>0</v>
      </c>
      <c r="P115" s="232">
        <f t="shared" si="8"/>
        <v>0</v>
      </c>
      <c r="Q115" s="232">
        <f t="shared" si="9"/>
        <v>0</v>
      </c>
      <c r="R115" s="232">
        <f t="shared" si="10"/>
        <v>-30</v>
      </c>
      <c r="S115" s="233">
        <v>29</v>
      </c>
      <c r="T115" s="234">
        <f t="shared" si="11"/>
        <v>0</v>
      </c>
      <c r="U115" s="234">
        <f t="shared" si="12"/>
        <v>-54225</v>
      </c>
      <c r="V115" s="233">
        <f t="shared" si="13"/>
        <v>129</v>
      </c>
    </row>
    <row r="116" spans="1:22" s="230" customFormat="1" ht="15">
      <c r="A116" s="225" t="s">
        <v>332</v>
      </c>
      <c r="B116" s="226">
        <v>42699</v>
      </c>
      <c r="C116" s="225" t="s">
        <v>333</v>
      </c>
      <c r="D116" s="227">
        <v>230.67</v>
      </c>
      <c r="K116" s="146">
        <v>42717</v>
      </c>
      <c r="L116" s="231"/>
      <c r="M116" s="146">
        <v>42719</v>
      </c>
      <c r="N116" s="146">
        <v>42719</v>
      </c>
      <c r="O116" s="232">
        <f t="shared" si="7"/>
        <v>2</v>
      </c>
      <c r="P116" s="232">
        <f t="shared" si="8"/>
        <v>0</v>
      </c>
      <c r="Q116" s="232">
        <f t="shared" si="9"/>
        <v>2</v>
      </c>
      <c r="R116" s="232">
        <f t="shared" si="10"/>
        <v>-28</v>
      </c>
      <c r="S116" s="233">
        <v>29</v>
      </c>
      <c r="T116" s="234">
        <f t="shared" si="11"/>
        <v>0</v>
      </c>
      <c r="U116" s="234">
        <f t="shared" si="12"/>
        <v>-6458.759999999999</v>
      </c>
      <c r="V116" s="233">
        <f t="shared" si="13"/>
        <v>129</v>
      </c>
    </row>
    <row r="117" spans="1:22" s="230" customFormat="1" ht="15">
      <c r="A117" s="225" t="s">
        <v>334</v>
      </c>
      <c r="B117" s="226">
        <v>42670</v>
      </c>
      <c r="C117" s="225" t="s">
        <v>335</v>
      </c>
      <c r="D117" s="227">
        <v>174.22</v>
      </c>
      <c r="K117" s="146">
        <v>42717</v>
      </c>
      <c r="L117" s="231"/>
      <c r="M117" s="146">
        <v>42719</v>
      </c>
      <c r="N117" s="146">
        <v>42719</v>
      </c>
      <c r="O117" s="232">
        <f t="shared" si="7"/>
        <v>2</v>
      </c>
      <c r="P117" s="232">
        <f t="shared" si="8"/>
        <v>0</v>
      </c>
      <c r="Q117" s="232">
        <f t="shared" si="9"/>
        <v>2</v>
      </c>
      <c r="R117" s="232">
        <f t="shared" si="10"/>
        <v>-28</v>
      </c>
      <c r="S117" s="233">
        <v>21</v>
      </c>
      <c r="T117" s="234">
        <f t="shared" si="11"/>
        <v>0</v>
      </c>
      <c r="U117" s="234">
        <f t="shared" si="12"/>
        <v>-4878.16</v>
      </c>
      <c r="V117" s="233">
        <f t="shared" si="13"/>
        <v>121</v>
      </c>
    </row>
    <row r="118" spans="1:22" s="230" customFormat="1" ht="15">
      <c r="A118" s="225" t="s">
        <v>336</v>
      </c>
      <c r="B118" s="226">
        <v>42670</v>
      </c>
      <c r="C118" s="225" t="s">
        <v>337</v>
      </c>
      <c r="D118" s="227">
        <v>41.53</v>
      </c>
      <c r="K118" s="146">
        <v>42717</v>
      </c>
      <c r="L118" s="231"/>
      <c r="M118" s="146">
        <v>42719</v>
      </c>
      <c r="N118" s="146">
        <v>42719</v>
      </c>
      <c r="O118" s="232">
        <f t="shared" si="7"/>
        <v>2</v>
      </c>
      <c r="P118" s="232">
        <f t="shared" si="8"/>
        <v>0</v>
      </c>
      <c r="Q118" s="232">
        <f t="shared" si="9"/>
        <v>2</v>
      </c>
      <c r="R118" s="232">
        <f t="shared" si="10"/>
        <v>-28</v>
      </c>
      <c r="S118" s="233">
        <v>21</v>
      </c>
      <c r="T118" s="234">
        <f t="shared" si="11"/>
        <v>0</v>
      </c>
      <c r="U118" s="234">
        <f t="shared" si="12"/>
        <v>-1162.8400000000001</v>
      </c>
      <c r="V118" s="233">
        <f t="shared" si="13"/>
        <v>121</v>
      </c>
    </row>
    <row r="119" spans="1:22" s="230" customFormat="1" ht="15">
      <c r="A119" s="225" t="s">
        <v>338</v>
      </c>
      <c r="B119" s="226">
        <v>42690</v>
      </c>
      <c r="C119" s="225" t="s">
        <v>339</v>
      </c>
      <c r="D119" s="227">
        <v>530.69</v>
      </c>
      <c r="K119" s="146">
        <v>42692</v>
      </c>
      <c r="L119" s="231"/>
      <c r="M119" s="146">
        <v>42692</v>
      </c>
      <c r="N119" s="146">
        <v>42692</v>
      </c>
      <c r="O119" s="232">
        <f t="shared" si="7"/>
        <v>0</v>
      </c>
      <c r="P119" s="232">
        <f t="shared" si="8"/>
        <v>0</v>
      </c>
      <c r="Q119" s="232">
        <f t="shared" si="9"/>
        <v>0</v>
      </c>
      <c r="R119" s="232">
        <f t="shared" si="10"/>
        <v>-30</v>
      </c>
      <c r="S119" s="233">
        <v>29</v>
      </c>
      <c r="T119" s="234">
        <f t="shared" si="11"/>
        <v>0</v>
      </c>
      <c r="U119" s="234">
        <f t="shared" si="12"/>
        <v>-15920.7</v>
      </c>
      <c r="V119" s="233">
        <f t="shared" si="13"/>
        <v>129</v>
      </c>
    </row>
    <row r="120" spans="1:22" s="230" customFormat="1" ht="15">
      <c r="A120" s="225" t="s">
        <v>340</v>
      </c>
      <c r="B120" s="226">
        <v>42689</v>
      </c>
      <c r="C120" s="225" t="s">
        <v>341</v>
      </c>
      <c r="D120" s="227">
        <v>502.09</v>
      </c>
      <c r="K120" s="146">
        <v>42691</v>
      </c>
      <c r="L120" s="231"/>
      <c r="M120" s="146">
        <v>42691</v>
      </c>
      <c r="N120" s="146">
        <v>42691</v>
      </c>
      <c r="O120" s="232">
        <f t="shared" si="7"/>
        <v>0</v>
      </c>
      <c r="P120" s="232">
        <f t="shared" si="8"/>
        <v>0</v>
      </c>
      <c r="Q120" s="232">
        <f t="shared" si="9"/>
        <v>0</v>
      </c>
      <c r="R120" s="232">
        <f t="shared" si="10"/>
        <v>-30</v>
      </c>
      <c r="S120" s="233">
        <v>29</v>
      </c>
      <c r="T120" s="234">
        <f t="shared" si="11"/>
        <v>0</v>
      </c>
      <c r="U120" s="234">
        <f t="shared" si="12"/>
        <v>-15062.699999999999</v>
      </c>
      <c r="V120" s="233">
        <f t="shared" si="13"/>
        <v>129</v>
      </c>
    </row>
    <row r="121" spans="1:22" s="230" customFormat="1" ht="15">
      <c r="A121" s="225" t="s">
        <v>342</v>
      </c>
      <c r="B121" s="226">
        <v>42690</v>
      </c>
      <c r="C121" s="225" t="s">
        <v>343</v>
      </c>
      <c r="D121" s="227">
        <v>383.92</v>
      </c>
      <c r="K121" s="146">
        <v>42692</v>
      </c>
      <c r="L121" s="231"/>
      <c r="M121" s="146">
        <v>42692</v>
      </c>
      <c r="N121" s="146">
        <v>42692</v>
      </c>
      <c r="O121" s="232">
        <f t="shared" si="7"/>
        <v>0</v>
      </c>
      <c r="P121" s="232">
        <f t="shared" si="8"/>
        <v>0</v>
      </c>
      <c r="Q121" s="232">
        <f t="shared" si="9"/>
        <v>0</v>
      </c>
      <c r="R121" s="232">
        <f t="shared" si="10"/>
        <v>-30</v>
      </c>
      <c r="S121" s="233">
        <v>29</v>
      </c>
      <c r="T121" s="234">
        <f t="shared" si="11"/>
        <v>0</v>
      </c>
      <c r="U121" s="234">
        <f t="shared" si="12"/>
        <v>-11517.6</v>
      </c>
      <c r="V121" s="233">
        <f t="shared" si="13"/>
        <v>129</v>
      </c>
    </row>
    <row r="122" spans="1:22" s="230" customFormat="1" ht="15">
      <c r="A122" s="225" t="s">
        <v>344</v>
      </c>
      <c r="B122" s="226">
        <v>42673</v>
      </c>
      <c r="C122" s="225" t="s">
        <v>345</v>
      </c>
      <c r="D122" s="227">
        <v>224.33</v>
      </c>
      <c r="K122" s="146">
        <v>42717</v>
      </c>
      <c r="L122" s="231"/>
      <c r="M122" s="146">
        <v>42719</v>
      </c>
      <c r="N122" s="146">
        <v>42719</v>
      </c>
      <c r="O122" s="232">
        <f t="shared" si="7"/>
        <v>2</v>
      </c>
      <c r="P122" s="232">
        <f t="shared" si="8"/>
        <v>0</v>
      </c>
      <c r="Q122" s="232">
        <f t="shared" si="9"/>
        <v>2</v>
      </c>
      <c r="R122" s="232">
        <f t="shared" si="10"/>
        <v>-28</v>
      </c>
      <c r="S122" s="233">
        <v>29</v>
      </c>
      <c r="T122" s="234">
        <f t="shared" si="11"/>
        <v>0</v>
      </c>
      <c r="U122" s="234">
        <f t="shared" si="12"/>
        <v>-6281.240000000001</v>
      </c>
      <c r="V122" s="233">
        <f t="shared" si="13"/>
        <v>129</v>
      </c>
    </row>
    <row r="123" spans="1:22" s="230" customFormat="1" ht="15">
      <c r="A123" s="225" t="s">
        <v>346</v>
      </c>
      <c r="B123" s="226">
        <v>42716</v>
      </c>
      <c r="C123" s="225" t="s">
        <v>347</v>
      </c>
      <c r="D123" s="227">
        <v>3500</v>
      </c>
      <c r="K123" s="146">
        <v>42717</v>
      </c>
      <c r="L123" s="231"/>
      <c r="M123" s="146">
        <v>42718</v>
      </c>
      <c r="N123" s="146">
        <v>42718</v>
      </c>
      <c r="O123" s="232">
        <f t="shared" si="7"/>
        <v>1</v>
      </c>
      <c r="P123" s="232">
        <f t="shared" si="8"/>
        <v>0</v>
      </c>
      <c r="Q123" s="232">
        <f t="shared" si="9"/>
        <v>1</v>
      </c>
      <c r="R123" s="232">
        <f t="shared" si="10"/>
        <v>-29</v>
      </c>
      <c r="S123" s="233">
        <v>29</v>
      </c>
      <c r="T123" s="234">
        <f t="shared" si="11"/>
        <v>0</v>
      </c>
      <c r="U123" s="234">
        <f t="shared" si="12"/>
        <v>-101500</v>
      </c>
      <c r="V123" s="233">
        <f t="shared" si="13"/>
        <v>129</v>
      </c>
    </row>
    <row r="124" spans="1:22" s="230" customFormat="1" ht="15">
      <c r="A124" s="225" t="s">
        <v>348</v>
      </c>
      <c r="B124" s="226">
        <v>42712</v>
      </c>
      <c r="C124" s="225" t="s">
        <v>349</v>
      </c>
      <c r="D124" s="227">
        <v>17325.7</v>
      </c>
      <c r="K124" s="146">
        <v>42717</v>
      </c>
      <c r="L124" s="231"/>
      <c r="M124" s="146">
        <v>42718</v>
      </c>
      <c r="N124" s="146">
        <v>42718</v>
      </c>
      <c r="O124" s="232">
        <f t="shared" si="7"/>
        <v>1</v>
      </c>
      <c r="P124" s="232">
        <f t="shared" si="8"/>
        <v>0</v>
      </c>
      <c r="Q124" s="232">
        <f t="shared" si="9"/>
        <v>1</v>
      </c>
      <c r="R124" s="232">
        <f t="shared" si="10"/>
        <v>-29</v>
      </c>
      <c r="S124" s="233">
        <v>29</v>
      </c>
      <c r="T124" s="234">
        <f t="shared" si="11"/>
        <v>0</v>
      </c>
      <c r="U124" s="234">
        <f t="shared" si="12"/>
        <v>-502445.30000000005</v>
      </c>
      <c r="V124" s="233">
        <f t="shared" si="13"/>
        <v>129</v>
      </c>
    </row>
    <row r="125" spans="1:22" s="230" customFormat="1" ht="15">
      <c r="A125" s="225" t="s">
        <v>350</v>
      </c>
      <c r="B125" s="226">
        <v>42704</v>
      </c>
      <c r="C125" s="225" t="s">
        <v>351</v>
      </c>
      <c r="D125" s="227">
        <v>2536.99</v>
      </c>
      <c r="K125" s="146">
        <v>42717</v>
      </c>
      <c r="L125" s="231"/>
      <c r="M125" s="146">
        <v>42719</v>
      </c>
      <c r="N125" s="146">
        <v>42719</v>
      </c>
      <c r="O125" s="232">
        <f t="shared" si="7"/>
        <v>2</v>
      </c>
      <c r="P125" s="232">
        <f t="shared" si="8"/>
        <v>0</v>
      </c>
      <c r="Q125" s="232">
        <f t="shared" si="9"/>
        <v>2</v>
      </c>
      <c r="R125" s="232">
        <f t="shared" si="10"/>
        <v>-28</v>
      </c>
      <c r="S125" s="233">
        <v>29</v>
      </c>
      <c r="T125" s="234">
        <f t="shared" si="11"/>
        <v>0</v>
      </c>
      <c r="U125" s="234">
        <f t="shared" si="12"/>
        <v>-71035.72</v>
      </c>
      <c r="V125" s="233">
        <f t="shared" si="13"/>
        <v>129</v>
      </c>
    </row>
    <row r="126" spans="1:22" s="230" customFormat="1" ht="15">
      <c r="A126" s="225" t="s">
        <v>352</v>
      </c>
      <c r="B126" s="226">
        <v>42704</v>
      </c>
      <c r="C126" s="225" t="s">
        <v>353</v>
      </c>
      <c r="D126" s="227">
        <v>2250.01</v>
      </c>
      <c r="K126" s="146">
        <v>42717</v>
      </c>
      <c r="L126" s="231"/>
      <c r="M126" s="146">
        <v>42719</v>
      </c>
      <c r="N126" s="146">
        <v>42719</v>
      </c>
      <c r="O126" s="232">
        <f t="shared" si="7"/>
        <v>2</v>
      </c>
      <c r="P126" s="232">
        <f t="shared" si="8"/>
        <v>0</v>
      </c>
      <c r="Q126" s="232">
        <f t="shared" si="9"/>
        <v>2</v>
      </c>
      <c r="R126" s="232">
        <f t="shared" si="10"/>
        <v>-28</v>
      </c>
      <c r="S126" s="233">
        <v>29</v>
      </c>
      <c r="T126" s="234">
        <f t="shared" si="11"/>
        <v>0</v>
      </c>
      <c r="U126" s="234">
        <f t="shared" si="12"/>
        <v>-63000.280000000006</v>
      </c>
      <c r="V126" s="233">
        <f t="shared" si="13"/>
        <v>129</v>
      </c>
    </row>
    <row r="127" spans="1:22" s="230" customFormat="1" ht="15">
      <c r="A127" s="225" t="s">
        <v>354</v>
      </c>
      <c r="B127" s="226">
        <v>42688</v>
      </c>
      <c r="C127" s="225" t="s">
        <v>355</v>
      </c>
      <c r="D127" s="227">
        <v>4242.26</v>
      </c>
      <c r="K127" s="146">
        <v>42717</v>
      </c>
      <c r="L127" s="231"/>
      <c r="M127" s="146">
        <v>42719</v>
      </c>
      <c r="N127" s="146">
        <v>42719</v>
      </c>
      <c r="O127" s="232">
        <f t="shared" si="7"/>
        <v>2</v>
      </c>
      <c r="P127" s="232">
        <f t="shared" si="8"/>
        <v>0</v>
      </c>
      <c r="Q127" s="232">
        <f t="shared" si="9"/>
        <v>2</v>
      </c>
      <c r="R127" s="232">
        <f t="shared" si="10"/>
        <v>-28</v>
      </c>
      <c r="S127" s="233">
        <v>29</v>
      </c>
      <c r="T127" s="234">
        <f t="shared" si="11"/>
        <v>0</v>
      </c>
      <c r="U127" s="234">
        <f t="shared" si="12"/>
        <v>-118783.28</v>
      </c>
      <c r="V127" s="233">
        <f t="shared" si="13"/>
        <v>129</v>
      </c>
    </row>
    <row r="128" spans="1:22" s="230" customFormat="1" ht="15">
      <c r="A128" s="225" t="s">
        <v>356</v>
      </c>
      <c r="B128" s="226">
        <v>42697</v>
      </c>
      <c r="C128" s="225" t="s">
        <v>357</v>
      </c>
      <c r="D128" s="227">
        <v>75</v>
      </c>
      <c r="K128" s="146">
        <v>42717</v>
      </c>
      <c r="L128" s="231"/>
      <c r="M128" s="146">
        <v>42730</v>
      </c>
      <c r="N128" s="146">
        <v>42730</v>
      </c>
      <c r="O128" s="232">
        <f t="shared" si="7"/>
        <v>13</v>
      </c>
      <c r="P128" s="232">
        <f t="shared" si="8"/>
        <v>0</v>
      </c>
      <c r="Q128" s="232">
        <f t="shared" si="9"/>
        <v>13</v>
      </c>
      <c r="R128" s="232">
        <f t="shared" si="10"/>
        <v>-17</v>
      </c>
      <c r="S128" s="233">
        <v>29</v>
      </c>
      <c r="T128" s="234">
        <f t="shared" si="11"/>
        <v>0</v>
      </c>
      <c r="U128" s="234">
        <f t="shared" si="12"/>
        <v>-1275</v>
      </c>
      <c r="V128" s="233">
        <f t="shared" si="13"/>
        <v>129</v>
      </c>
    </row>
    <row r="129" spans="1:22" s="230" customFormat="1" ht="15">
      <c r="A129" s="225" t="s">
        <v>358</v>
      </c>
      <c r="B129" s="226">
        <v>42704</v>
      </c>
      <c r="C129" s="225" t="s">
        <v>359</v>
      </c>
      <c r="D129" s="227">
        <v>130.78</v>
      </c>
      <c r="K129" s="146">
        <v>42717</v>
      </c>
      <c r="L129" s="231"/>
      <c r="M129" s="146">
        <v>42724</v>
      </c>
      <c r="N129" s="146">
        <v>42724</v>
      </c>
      <c r="O129" s="232">
        <f t="shared" si="7"/>
        <v>7</v>
      </c>
      <c r="P129" s="232">
        <f t="shared" si="8"/>
        <v>0</v>
      </c>
      <c r="Q129" s="232">
        <f t="shared" si="9"/>
        <v>7</v>
      </c>
      <c r="R129" s="232">
        <f t="shared" si="10"/>
        <v>-23</v>
      </c>
      <c r="S129" s="233">
        <v>22</v>
      </c>
      <c r="T129" s="234">
        <f t="shared" si="11"/>
        <v>0</v>
      </c>
      <c r="U129" s="234">
        <f t="shared" si="12"/>
        <v>-3007.94</v>
      </c>
      <c r="V129" s="233">
        <f t="shared" si="13"/>
        <v>122</v>
      </c>
    </row>
    <row r="130" spans="1:22" s="230" customFormat="1" ht="15">
      <c r="A130" s="225" t="s">
        <v>360</v>
      </c>
      <c r="B130" s="226">
        <v>42682</v>
      </c>
      <c r="C130" s="225" t="s">
        <v>361</v>
      </c>
      <c r="D130" s="227">
        <v>726</v>
      </c>
      <c r="K130" s="146">
        <v>42717</v>
      </c>
      <c r="L130" s="231"/>
      <c r="M130" s="146">
        <v>42719</v>
      </c>
      <c r="N130" s="146">
        <v>42719</v>
      </c>
      <c r="O130" s="232">
        <f t="shared" si="7"/>
        <v>2</v>
      </c>
      <c r="P130" s="232">
        <f t="shared" si="8"/>
        <v>0</v>
      </c>
      <c r="Q130" s="232">
        <f t="shared" si="9"/>
        <v>2</v>
      </c>
      <c r="R130" s="232">
        <f t="shared" si="10"/>
        <v>-28</v>
      </c>
      <c r="S130" s="233">
        <v>29</v>
      </c>
      <c r="T130" s="234">
        <f t="shared" si="11"/>
        <v>0</v>
      </c>
      <c r="U130" s="234">
        <f t="shared" si="12"/>
        <v>-20328</v>
      </c>
      <c r="V130" s="233">
        <f t="shared" si="13"/>
        <v>129</v>
      </c>
    </row>
    <row r="131" spans="1:22" s="230" customFormat="1" ht="15">
      <c r="A131" s="225" t="s">
        <v>362</v>
      </c>
      <c r="B131" s="226">
        <v>42701</v>
      </c>
      <c r="C131" s="225" t="s">
        <v>363</v>
      </c>
      <c r="D131" s="227">
        <v>417.45</v>
      </c>
      <c r="K131" s="146">
        <v>42717</v>
      </c>
      <c r="L131" s="231"/>
      <c r="M131" s="146">
        <v>42719</v>
      </c>
      <c r="N131" s="146">
        <v>42719</v>
      </c>
      <c r="O131" s="232">
        <f t="shared" si="7"/>
        <v>2</v>
      </c>
      <c r="P131" s="232">
        <f t="shared" si="8"/>
        <v>0</v>
      </c>
      <c r="Q131" s="232">
        <f t="shared" si="9"/>
        <v>2</v>
      </c>
      <c r="R131" s="232">
        <f t="shared" si="10"/>
        <v>-28</v>
      </c>
      <c r="S131" s="233">
        <v>29</v>
      </c>
      <c r="T131" s="234">
        <f t="shared" si="11"/>
        <v>0</v>
      </c>
      <c r="U131" s="234">
        <f t="shared" si="12"/>
        <v>-11688.6</v>
      </c>
      <c r="V131" s="233">
        <f t="shared" si="13"/>
        <v>129</v>
      </c>
    </row>
    <row r="132" spans="1:22" s="233" customFormat="1" ht="15">
      <c r="A132" s="225" t="s">
        <v>364</v>
      </c>
      <c r="B132" s="226">
        <v>42698</v>
      </c>
      <c r="C132" s="225" t="s">
        <v>365</v>
      </c>
      <c r="D132" s="227">
        <v>430.1</v>
      </c>
      <c r="K132" s="146">
        <v>42717</v>
      </c>
      <c r="L132" s="235"/>
      <c r="M132" s="146">
        <v>42719</v>
      </c>
      <c r="N132" s="146">
        <v>42719</v>
      </c>
      <c r="O132" s="232">
        <f t="shared" si="7"/>
        <v>2</v>
      </c>
      <c r="P132" s="232">
        <f t="shared" si="8"/>
        <v>0</v>
      </c>
      <c r="Q132" s="232">
        <f t="shared" si="9"/>
        <v>2</v>
      </c>
      <c r="R132" s="232">
        <f t="shared" si="10"/>
        <v>-28</v>
      </c>
      <c r="S132" s="233">
        <v>22</v>
      </c>
      <c r="T132" s="234">
        <f t="shared" si="11"/>
        <v>0</v>
      </c>
      <c r="U132" s="234">
        <f t="shared" si="12"/>
        <v>-12042.800000000001</v>
      </c>
      <c r="V132" s="233">
        <f t="shared" si="13"/>
        <v>122</v>
      </c>
    </row>
    <row r="133" spans="1:22" s="230" customFormat="1" ht="15">
      <c r="A133" s="225" t="s">
        <v>366</v>
      </c>
      <c r="B133" s="226">
        <v>42705</v>
      </c>
      <c r="C133" s="225" t="s">
        <v>367</v>
      </c>
      <c r="D133" s="227">
        <v>606.87</v>
      </c>
      <c r="K133" s="146">
        <v>42717</v>
      </c>
      <c r="L133" s="231"/>
      <c r="M133" s="146">
        <v>42719</v>
      </c>
      <c r="N133" s="146">
        <v>42719</v>
      </c>
      <c r="O133" s="232">
        <f t="shared" si="7"/>
        <v>2</v>
      </c>
      <c r="P133" s="232">
        <f t="shared" si="8"/>
        <v>0</v>
      </c>
      <c r="Q133" s="232">
        <f t="shared" si="9"/>
        <v>2</v>
      </c>
      <c r="R133" s="232">
        <f t="shared" si="10"/>
        <v>-28</v>
      </c>
      <c r="S133" s="233">
        <v>22</v>
      </c>
      <c r="T133" s="234">
        <f t="shared" si="11"/>
        <v>0</v>
      </c>
      <c r="U133" s="234">
        <f t="shared" si="12"/>
        <v>-16992.36</v>
      </c>
      <c r="V133" s="233">
        <f t="shared" si="13"/>
        <v>122</v>
      </c>
    </row>
    <row r="134" spans="1:22" s="230" customFormat="1" ht="15">
      <c r="A134" s="225" t="s">
        <v>368</v>
      </c>
      <c r="B134" s="226">
        <v>42711</v>
      </c>
      <c r="C134" s="225" t="s">
        <v>369</v>
      </c>
      <c r="D134" s="227">
        <v>8.42</v>
      </c>
      <c r="K134" s="146">
        <v>42717</v>
      </c>
      <c r="L134" s="231"/>
      <c r="M134" s="146">
        <v>42719</v>
      </c>
      <c r="N134" s="146">
        <v>42719</v>
      </c>
      <c r="O134" s="232">
        <f t="shared" si="7"/>
        <v>2</v>
      </c>
      <c r="P134" s="232">
        <f t="shared" si="8"/>
        <v>0</v>
      </c>
      <c r="Q134" s="232">
        <f t="shared" si="9"/>
        <v>2</v>
      </c>
      <c r="R134" s="232">
        <f t="shared" si="10"/>
        <v>-28</v>
      </c>
      <c r="S134" s="233">
        <v>22</v>
      </c>
      <c r="T134" s="234">
        <f t="shared" si="11"/>
        <v>0</v>
      </c>
      <c r="U134" s="234">
        <f t="shared" si="12"/>
        <v>-235.76</v>
      </c>
      <c r="V134" s="233">
        <f t="shared" si="13"/>
        <v>122</v>
      </c>
    </row>
    <row r="135" spans="1:22" s="230" customFormat="1" ht="15">
      <c r="A135" s="225" t="s">
        <v>370</v>
      </c>
      <c r="B135" s="226">
        <v>42705</v>
      </c>
      <c r="C135" s="225" t="s">
        <v>371</v>
      </c>
      <c r="D135" s="227">
        <v>206</v>
      </c>
      <c r="K135" s="146">
        <v>42717</v>
      </c>
      <c r="L135" s="231"/>
      <c r="M135" s="146">
        <v>42719</v>
      </c>
      <c r="N135" s="146">
        <v>42719</v>
      </c>
      <c r="O135" s="232">
        <f aca="true" t="shared" si="14" ref="O135:O198">+M135-K135</f>
        <v>2</v>
      </c>
      <c r="P135" s="232">
        <f aca="true" t="shared" si="15" ref="P135:P198">+N135-M135</f>
        <v>0</v>
      </c>
      <c r="Q135" s="232">
        <f aca="true" t="shared" si="16" ref="Q135:Q198">+N135-K135</f>
        <v>2</v>
      </c>
      <c r="R135" s="232">
        <f aca="true" t="shared" si="17" ref="R135:R198">+Q135-30</f>
        <v>-28</v>
      </c>
      <c r="S135" s="233">
        <v>29</v>
      </c>
      <c r="T135" s="234">
        <f aca="true" t="shared" si="18" ref="T135:T198">+P135*D135</f>
        <v>0</v>
      </c>
      <c r="U135" s="234">
        <f aca="true" t="shared" si="19" ref="U135:U198">+R135*D135</f>
        <v>-5768</v>
      </c>
      <c r="V135" s="233">
        <f aca="true" t="shared" si="20" ref="V135:V198">IF(P135&gt;30,200+S135,100+S135)</f>
        <v>129</v>
      </c>
    </row>
    <row r="136" spans="1:22" s="230" customFormat="1" ht="15">
      <c r="A136" s="225" t="s">
        <v>372</v>
      </c>
      <c r="B136" s="226">
        <v>42704</v>
      </c>
      <c r="C136" s="225" t="s">
        <v>373</v>
      </c>
      <c r="D136" s="227">
        <v>36.5</v>
      </c>
      <c r="K136" s="146">
        <v>42717</v>
      </c>
      <c r="L136" s="231"/>
      <c r="M136" s="146">
        <v>42719</v>
      </c>
      <c r="N136" s="146">
        <v>42719</v>
      </c>
      <c r="O136" s="232">
        <f t="shared" si="14"/>
        <v>2</v>
      </c>
      <c r="P136" s="232">
        <f t="shared" si="15"/>
        <v>0</v>
      </c>
      <c r="Q136" s="232">
        <f t="shared" si="16"/>
        <v>2</v>
      </c>
      <c r="R136" s="232">
        <f t="shared" si="17"/>
        <v>-28</v>
      </c>
      <c r="S136" s="233">
        <v>29</v>
      </c>
      <c r="T136" s="234">
        <f t="shared" si="18"/>
        <v>0</v>
      </c>
      <c r="U136" s="234">
        <f t="shared" si="19"/>
        <v>-1022</v>
      </c>
      <c r="V136" s="233">
        <f t="shared" si="20"/>
        <v>129</v>
      </c>
    </row>
    <row r="137" spans="1:22" s="230" customFormat="1" ht="15">
      <c r="A137" s="225" t="s">
        <v>374</v>
      </c>
      <c r="B137" s="226">
        <v>42676</v>
      </c>
      <c r="C137" s="225" t="s">
        <v>375</v>
      </c>
      <c r="D137" s="227">
        <v>36.6</v>
      </c>
      <c r="K137" s="146">
        <v>42717</v>
      </c>
      <c r="L137" s="231"/>
      <c r="M137" s="146">
        <v>42719</v>
      </c>
      <c r="N137" s="146">
        <v>42719</v>
      </c>
      <c r="O137" s="232">
        <f t="shared" si="14"/>
        <v>2</v>
      </c>
      <c r="P137" s="232">
        <f t="shared" si="15"/>
        <v>0</v>
      </c>
      <c r="Q137" s="232">
        <f t="shared" si="16"/>
        <v>2</v>
      </c>
      <c r="R137" s="232">
        <f t="shared" si="17"/>
        <v>-28</v>
      </c>
      <c r="S137" s="233">
        <v>29</v>
      </c>
      <c r="T137" s="234">
        <f t="shared" si="18"/>
        <v>0</v>
      </c>
      <c r="U137" s="234">
        <f t="shared" si="19"/>
        <v>-1024.8</v>
      </c>
      <c r="V137" s="233">
        <f t="shared" si="20"/>
        <v>129</v>
      </c>
    </row>
    <row r="138" spans="1:22" s="230" customFormat="1" ht="15">
      <c r="A138" s="225" t="s">
        <v>376</v>
      </c>
      <c r="B138" s="226">
        <v>42691</v>
      </c>
      <c r="C138" s="225" t="s">
        <v>377</v>
      </c>
      <c r="D138" s="227">
        <v>84.34</v>
      </c>
      <c r="K138" s="146">
        <v>42699</v>
      </c>
      <c r="L138" s="231"/>
      <c r="M138" s="146">
        <v>42699</v>
      </c>
      <c r="N138" s="146">
        <v>42699</v>
      </c>
      <c r="O138" s="232">
        <f t="shared" si="14"/>
        <v>0</v>
      </c>
      <c r="P138" s="232">
        <f t="shared" si="15"/>
        <v>0</v>
      </c>
      <c r="Q138" s="232">
        <f t="shared" si="16"/>
        <v>0</v>
      </c>
      <c r="R138" s="232">
        <f t="shared" si="17"/>
        <v>-30</v>
      </c>
      <c r="S138" s="233">
        <v>22</v>
      </c>
      <c r="T138" s="234">
        <f t="shared" si="18"/>
        <v>0</v>
      </c>
      <c r="U138" s="234">
        <f t="shared" si="19"/>
        <v>-2530.2000000000003</v>
      </c>
      <c r="V138" s="233">
        <f t="shared" si="20"/>
        <v>122</v>
      </c>
    </row>
    <row r="139" spans="1:22" s="230" customFormat="1" ht="15">
      <c r="A139" s="225" t="s">
        <v>378</v>
      </c>
      <c r="B139" s="226">
        <v>42697</v>
      </c>
      <c r="C139" s="225" t="s">
        <v>379</v>
      </c>
      <c r="D139" s="227">
        <v>87.91</v>
      </c>
      <c r="K139" s="146">
        <v>42705</v>
      </c>
      <c r="L139" s="231"/>
      <c r="M139" s="146">
        <v>42705</v>
      </c>
      <c r="N139" s="146">
        <v>42705</v>
      </c>
      <c r="O139" s="232">
        <f t="shared" si="14"/>
        <v>0</v>
      </c>
      <c r="P139" s="232">
        <f t="shared" si="15"/>
        <v>0</v>
      </c>
      <c r="Q139" s="232">
        <f t="shared" si="16"/>
        <v>0</v>
      </c>
      <c r="R139" s="232">
        <f t="shared" si="17"/>
        <v>-30</v>
      </c>
      <c r="S139" s="233">
        <v>22</v>
      </c>
      <c r="T139" s="234">
        <f t="shared" si="18"/>
        <v>0</v>
      </c>
      <c r="U139" s="234">
        <f t="shared" si="19"/>
        <v>-2637.2999999999997</v>
      </c>
      <c r="V139" s="233">
        <f t="shared" si="20"/>
        <v>122</v>
      </c>
    </row>
    <row r="140" spans="1:22" s="230" customFormat="1" ht="15">
      <c r="A140" s="225" t="s">
        <v>380</v>
      </c>
      <c r="B140" s="226">
        <v>42697</v>
      </c>
      <c r="C140" s="225" t="s">
        <v>381</v>
      </c>
      <c r="D140" s="227">
        <v>151.25</v>
      </c>
      <c r="K140" s="146">
        <v>42717</v>
      </c>
      <c r="L140" s="231"/>
      <c r="M140" s="146">
        <v>42719</v>
      </c>
      <c r="N140" s="146">
        <v>42719</v>
      </c>
      <c r="O140" s="232">
        <f t="shared" si="14"/>
        <v>2</v>
      </c>
      <c r="P140" s="232">
        <f t="shared" si="15"/>
        <v>0</v>
      </c>
      <c r="Q140" s="232">
        <f t="shared" si="16"/>
        <v>2</v>
      </c>
      <c r="R140" s="232">
        <f t="shared" si="17"/>
        <v>-28</v>
      </c>
      <c r="S140" s="230">
        <v>21</v>
      </c>
      <c r="T140" s="234">
        <f t="shared" si="18"/>
        <v>0</v>
      </c>
      <c r="U140" s="234">
        <f t="shared" si="19"/>
        <v>-4235</v>
      </c>
      <c r="V140" s="233">
        <f t="shared" si="20"/>
        <v>121</v>
      </c>
    </row>
    <row r="141" spans="1:22" s="230" customFormat="1" ht="15">
      <c r="A141" s="225" t="s">
        <v>382</v>
      </c>
      <c r="B141" s="226">
        <v>42704</v>
      </c>
      <c r="C141" s="225" t="s">
        <v>383</v>
      </c>
      <c r="D141" s="227">
        <v>676.12</v>
      </c>
      <c r="K141" s="146">
        <v>42717</v>
      </c>
      <c r="L141" s="231"/>
      <c r="M141" s="146">
        <v>42719</v>
      </c>
      <c r="N141" s="146">
        <v>42719</v>
      </c>
      <c r="O141" s="232">
        <f t="shared" si="14"/>
        <v>2</v>
      </c>
      <c r="P141" s="232">
        <f t="shared" si="15"/>
        <v>0</v>
      </c>
      <c r="Q141" s="232">
        <f t="shared" si="16"/>
        <v>2</v>
      </c>
      <c r="R141" s="232">
        <f t="shared" si="17"/>
        <v>-28</v>
      </c>
      <c r="S141" s="230">
        <v>29</v>
      </c>
      <c r="T141" s="234">
        <f t="shared" si="18"/>
        <v>0</v>
      </c>
      <c r="U141" s="234">
        <f t="shared" si="19"/>
        <v>-18931.36</v>
      </c>
      <c r="V141" s="233">
        <f t="shared" si="20"/>
        <v>129</v>
      </c>
    </row>
    <row r="142" spans="1:22" s="233" customFormat="1" ht="15">
      <c r="A142" s="225" t="s">
        <v>384</v>
      </c>
      <c r="B142" s="226">
        <v>42704</v>
      </c>
      <c r="C142" s="225" t="s">
        <v>385</v>
      </c>
      <c r="D142" s="227">
        <v>1108.17</v>
      </c>
      <c r="K142" s="146">
        <v>42704</v>
      </c>
      <c r="L142" s="235"/>
      <c r="M142" s="146">
        <v>42704</v>
      </c>
      <c r="N142" s="146">
        <v>42704</v>
      </c>
      <c r="O142" s="232">
        <f t="shared" si="14"/>
        <v>0</v>
      </c>
      <c r="P142" s="232">
        <f t="shared" si="15"/>
        <v>0</v>
      </c>
      <c r="Q142" s="232">
        <f t="shared" si="16"/>
        <v>0</v>
      </c>
      <c r="R142" s="232">
        <f t="shared" si="17"/>
        <v>-30</v>
      </c>
      <c r="S142" s="233">
        <v>29</v>
      </c>
      <c r="T142" s="234">
        <f t="shared" si="18"/>
        <v>0</v>
      </c>
      <c r="U142" s="234">
        <f t="shared" si="19"/>
        <v>-33245.100000000006</v>
      </c>
      <c r="V142" s="233">
        <f t="shared" si="20"/>
        <v>129</v>
      </c>
    </row>
    <row r="143" spans="1:22" s="230" customFormat="1" ht="15">
      <c r="A143" s="225" t="s">
        <v>386</v>
      </c>
      <c r="B143" s="226">
        <v>42662</v>
      </c>
      <c r="C143" s="225" t="s">
        <v>387</v>
      </c>
      <c r="D143" s="227">
        <v>346.06</v>
      </c>
      <c r="K143" s="146">
        <v>42718</v>
      </c>
      <c r="L143" s="231"/>
      <c r="M143" s="146">
        <v>42719</v>
      </c>
      <c r="N143" s="146">
        <v>42719</v>
      </c>
      <c r="O143" s="232">
        <f t="shared" si="14"/>
        <v>1</v>
      </c>
      <c r="P143" s="232">
        <f t="shared" si="15"/>
        <v>0</v>
      </c>
      <c r="Q143" s="232">
        <f t="shared" si="16"/>
        <v>1</v>
      </c>
      <c r="R143" s="232">
        <f t="shared" si="17"/>
        <v>-29</v>
      </c>
      <c r="S143" s="230">
        <v>29</v>
      </c>
      <c r="T143" s="234">
        <f t="shared" si="18"/>
        <v>0</v>
      </c>
      <c r="U143" s="234">
        <f t="shared" si="19"/>
        <v>-10035.74</v>
      </c>
      <c r="V143" s="233">
        <f t="shared" si="20"/>
        <v>129</v>
      </c>
    </row>
    <row r="144" spans="1:22" s="230" customFormat="1" ht="15">
      <c r="A144" s="225" t="s">
        <v>388</v>
      </c>
      <c r="B144" s="226">
        <v>42688</v>
      </c>
      <c r="C144" s="225" t="s">
        <v>389</v>
      </c>
      <c r="D144" s="227">
        <v>395.44</v>
      </c>
      <c r="K144" s="146">
        <v>42690</v>
      </c>
      <c r="L144" s="231"/>
      <c r="M144" s="146">
        <v>42690</v>
      </c>
      <c r="N144" s="146">
        <v>42690</v>
      </c>
      <c r="O144" s="232">
        <f t="shared" si="14"/>
        <v>0</v>
      </c>
      <c r="P144" s="232">
        <f t="shared" si="15"/>
        <v>0</v>
      </c>
      <c r="Q144" s="232">
        <f t="shared" si="16"/>
        <v>0</v>
      </c>
      <c r="R144" s="232">
        <f t="shared" si="17"/>
        <v>-30</v>
      </c>
      <c r="S144" s="230">
        <v>29</v>
      </c>
      <c r="T144" s="234">
        <f t="shared" si="18"/>
        <v>0</v>
      </c>
      <c r="U144" s="234">
        <f t="shared" si="19"/>
        <v>-11863.2</v>
      </c>
      <c r="V144" s="233">
        <f t="shared" si="20"/>
        <v>129</v>
      </c>
    </row>
    <row r="145" spans="1:22" s="230" customFormat="1" ht="15">
      <c r="A145" s="225" t="s">
        <v>390</v>
      </c>
      <c r="B145" s="226">
        <v>42674</v>
      </c>
      <c r="C145" s="225" t="s">
        <v>391</v>
      </c>
      <c r="D145" s="227">
        <v>108.9</v>
      </c>
      <c r="K145" s="146">
        <v>42718</v>
      </c>
      <c r="L145" s="231"/>
      <c r="M145" s="146">
        <v>42719</v>
      </c>
      <c r="N145" s="146">
        <v>42719</v>
      </c>
      <c r="O145" s="232">
        <f t="shared" si="14"/>
        <v>1</v>
      </c>
      <c r="P145" s="232">
        <f t="shared" si="15"/>
        <v>0</v>
      </c>
      <c r="Q145" s="232">
        <f t="shared" si="16"/>
        <v>1</v>
      </c>
      <c r="R145" s="232">
        <f t="shared" si="17"/>
        <v>-29</v>
      </c>
      <c r="S145" s="230">
        <v>29</v>
      </c>
      <c r="T145" s="234">
        <f t="shared" si="18"/>
        <v>0</v>
      </c>
      <c r="U145" s="234">
        <f t="shared" si="19"/>
        <v>-3158.1000000000004</v>
      </c>
      <c r="V145" s="233">
        <f t="shared" si="20"/>
        <v>129</v>
      </c>
    </row>
    <row r="146" spans="1:22" s="230" customFormat="1" ht="15">
      <c r="A146" s="225" t="s">
        <v>392</v>
      </c>
      <c r="B146" s="226">
        <v>42691</v>
      </c>
      <c r="C146" s="225" t="s">
        <v>393</v>
      </c>
      <c r="D146" s="227">
        <v>55.66</v>
      </c>
      <c r="K146" s="146">
        <v>42718</v>
      </c>
      <c r="L146" s="231"/>
      <c r="M146" s="146">
        <v>42719</v>
      </c>
      <c r="N146" s="146">
        <v>42719</v>
      </c>
      <c r="O146" s="232">
        <f t="shared" si="14"/>
        <v>1</v>
      </c>
      <c r="P146" s="232">
        <f t="shared" si="15"/>
        <v>0</v>
      </c>
      <c r="Q146" s="232">
        <f t="shared" si="16"/>
        <v>1</v>
      </c>
      <c r="R146" s="232">
        <f t="shared" si="17"/>
        <v>-29</v>
      </c>
      <c r="S146" s="230">
        <v>21</v>
      </c>
      <c r="T146" s="234">
        <f t="shared" si="18"/>
        <v>0</v>
      </c>
      <c r="U146" s="234">
        <f t="shared" si="19"/>
        <v>-1614.1399999999999</v>
      </c>
      <c r="V146" s="233">
        <f t="shared" si="20"/>
        <v>121</v>
      </c>
    </row>
    <row r="147" spans="1:22" s="230" customFormat="1" ht="15">
      <c r="A147" s="225" t="s">
        <v>394</v>
      </c>
      <c r="B147" s="226">
        <v>42663</v>
      </c>
      <c r="C147" s="225" t="s">
        <v>395</v>
      </c>
      <c r="D147" s="227">
        <v>144.17</v>
      </c>
      <c r="K147" s="146">
        <v>42702</v>
      </c>
      <c r="L147" s="231"/>
      <c r="M147" s="146">
        <v>42702</v>
      </c>
      <c r="N147" s="146">
        <v>42702</v>
      </c>
      <c r="O147" s="232">
        <f t="shared" si="14"/>
        <v>0</v>
      </c>
      <c r="P147" s="232">
        <f t="shared" si="15"/>
        <v>0</v>
      </c>
      <c r="Q147" s="232">
        <f t="shared" si="16"/>
        <v>0</v>
      </c>
      <c r="R147" s="232">
        <f t="shared" si="17"/>
        <v>-30</v>
      </c>
      <c r="S147" s="230">
        <v>29</v>
      </c>
      <c r="T147" s="234">
        <f t="shared" si="18"/>
        <v>0</v>
      </c>
      <c r="U147" s="234">
        <f t="shared" si="19"/>
        <v>-4325.099999999999</v>
      </c>
      <c r="V147" s="233">
        <f t="shared" si="20"/>
        <v>129</v>
      </c>
    </row>
    <row r="148" spans="1:22" s="230" customFormat="1" ht="15">
      <c r="A148" s="225" t="s">
        <v>396</v>
      </c>
      <c r="B148" s="226">
        <v>42663</v>
      </c>
      <c r="C148" s="225" t="s">
        <v>397</v>
      </c>
      <c r="D148" s="227">
        <v>56.8</v>
      </c>
      <c r="K148" s="146">
        <v>42702</v>
      </c>
      <c r="L148" s="231"/>
      <c r="M148" s="146">
        <v>42702</v>
      </c>
      <c r="N148" s="146">
        <v>42702</v>
      </c>
      <c r="O148" s="232">
        <f t="shared" si="14"/>
        <v>0</v>
      </c>
      <c r="P148" s="232">
        <f t="shared" si="15"/>
        <v>0</v>
      </c>
      <c r="Q148" s="232">
        <f t="shared" si="16"/>
        <v>0</v>
      </c>
      <c r="R148" s="232">
        <f t="shared" si="17"/>
        <v>-30</v>
      </c>
      <c r="S148" s="230">
        <v>29</v>
      </c>
      <c r="T148" s="234">
        <f t="shared" si="18"/>
        <v>0</v>
      </c>
      <c r="U148" s="234">
        <f t="shared" si="19"/>
        <v>-1704</v>
      </c>
      <c r="V148" s="233">
        <f t="shared" si="20"/>
        <v>129</v>
      </c>
    </row>
    <row r="149" spans="1:22" s="230" customFormat="1" ht="15">
      <c r="A149" s="225" t="s">
        <v>398</v>
      </c>
      <c r="B149" s="226">
        <v>42695</v>
      </c>
      <c r="C149" s="225" t="s">
        <v>399</v>
      </c>
      <c r="D149" s="227">
        <v>10.61</v>
      </c>
      <c r="K149" s="146">
        <v>42695</v>
      </c>
      <c r="L149" s="231"/>
      <c r="M149" s="146">
        <v>42695</v>
      </c>
      <c r="N149" s="146">
        <v>42695</v>
      </c>
      <c r="O149" s="232">
        <f t="shared" si="14"/>
        <v>0</v>
      </c>
      <c r="P149" s="232">
        <f t="shared" si="15"/>
        <v>0</v>
      </c>
      <c r="Q149" s="232">
        <f t="shared" si="16"/>
        <v>0</v>
      </c>
      <c r="R149" s="232">
        <f t="shared" si="17"/>
        <v>-30</v>
      </c>
      <c r="S149" s="230">
        <v>29</v>
      </c>
      <c r="T149" s="234">
        <f t="shared" si="18"/>
        <v>0</v>
      </c>
      <c r="U149" s="234">
        <f t="shared" si="19"/>
        <v>-318.29999999999995</v>
      </c>
      <c r="V149" s="233">
        <f t="shared" si="20"/>
        <v>129</v>
      </c>
    </row>
    <row r="150" spans="1:22" s="230" customFormat="1" ht="15">
      <c r="A150" s="225" t="s">
        <v>400</v>
      </c>
      <c r="B150" s="226">
        <v>42724</v>
      </c>
      <c r="C150" s="225" t="s">
        <v>401</v>
      </c>
      <c r="D150" s="227">
        <v>390</v>
      </c>
      <c r="K150" s="146">
        <v>42671</v>
      </c>
      <c r="L150" s="231"/>
      <c r="M150" s="146">
        <v>42671</v>
      </c>
      <c r="N150" s="146">
        <v>42671</v>
      </c>
      <c r="O150" s="232">
        <f t="shared" si="14"/>
        <v>0</v>
      </c>
      <c r="P150" s="232">
        <f t="shared" si="15"/>
        <v>0</v>
      </c>
      <c r="Q150" s="232">
        <f t="shared" si="16"/>
        <v>0</v>
      </c>
      <c r="R150" s="232">
        <f t="shared" si="17"/>
        <v>-30</v>
      </c>
      <c r="S150" s="230">
        <v>29</v>
      </c>
      <c r="T150" s="234">
        <f t="shared" si="18"/>
        <v>0</v>
      </c>
      <c r="U150" s="234">
        <f t="shared" si="19"/>
        <v>-11700</v>
      </c>
      <c r="V150" s="233">
        <f t="shared" si="20"/>
        <v>129</v>
      </c>
    </row>
    <row r="151" spans="1:22" s="230" customFormat="1" ht="15">
      <c r="A151" s="225" t="s">
        <v>402</v>
      </c>
      <c r="B151" s="226">
        <v>42716</v>
      </c>
      <c r="C151" s="225" t="s">
        <v>403</v>
      </c>
      <c r="D151" s="227">
        <v>36.58</v>
      </c>
      <c r="K151" s="146">
        <v>42726</v>
      </c>
      <c r="L151" s="231"/>
      <c r="M151" s="146">
        <v>42734</v>
      </c>
      <c r="N151" s="146">
        <v>42734</v>
      </c>
      <c r="O151" s="232">
        <f t="shared" si="14"/>
        <v>8</v>
      </c>
      <c r="P151" s="232">
        <f t="shared" si="15"/>
        <v>0</v>
      </c>
      <c r="Q151" s="232">
        <f t="shared" si="16"/>
        <v>8</v>
      </c>
      <c r="R151" s="232">
        <f t="shared" si="17"/>
        <v>-22</v>
      </c>
      <c r="S151" s="230">
        <v>29</v>
      </c>
      <c r="T151" s="234">
        <f t="shared" si="18"/>
        <v>0</v>
      </c>
      <c r="U151" s="234">
        <f t="shared" si="19"/>
        <v>-804.76</v>
      </c>
      <c r="V151" s="233">
        <f t="shared" si="20"/>
        <v>129</v>
      </c>
    </row>
    <row r="152" spans="1:22" s="230" customFormat="1" ht="15">
      <c r="A152" s="225" t="s">
        <v>404</v>
      </c>
      <c r="B152" s="226">
        <v>42692</v>
      </c>
      <c r="C152" s="225" t="s">
        <v>405</v>
      </c>
      <c r="D152" s="227">
        <v>39.49</v>
      </c>
      <c r="K152" s="146">
        <v>42726</v>
      </c>
      <c r="L152" s="231"/>
      <c r="M152" s="146">
        <v>42734</v>
      </c>
      <c r="N152" s="146">
        <v>42734</v>
      </c>
      <c r="O152" s="232">
        <f t="shared" si="14"/>
        <v>8</v>
      </c>
      <c r="P152" s="232">
        <f t="shared" si="15"/>
        <v>0</v>
      </c>
      <c r="Q152" s="232">
        <f t="shared" si="16"/>
        <v>8</v>
      </c>
      <c r="R152" s="232">
        <f t="shared" si="17"/>
        <v>-22</v>
      </c>
      <c r="S152" s="230">
        <v>21</v>
      </c>
      <c r="T152" s="234">
        <f t="shared" si="18"/>
        <v>0</v>
      </c>
      <c r="U152" s="234">
        <f t="shared" si="19"/>
        <v>-868.7800000000001</v>
      </c>
      <c r="V152" s="233">
        <f t="shared" si="20"/>
        <v>121</v>
      </c>
    </row>
    <row r="153" spans="1:22" s="230" customFormat="1" ht="15">
      <c r="A153" s="225" t="s">
        <v>406</v>
      </c>
      <c r="B153" s="226">
        <v>42704</v>
      </c>
      <c r="C153" s="225" t="s">
        <v>407</v>
      </c>
      <c r="D153" s="227">
        <v>360</v>
      </c>
      <c r="K153" s="146">
        <v>42726</v>
      </c>
      <c r="L153" s="231"/>
      <c r="M153" s="146">
        <v>42734</v>
      </c>
      <c r="N153" s="146">
        <v>42734</v>
      </c>
      <c r="O153" s="232">
        <f t="shared" si="14"/>
        <v>8</v>
      </c>
      <c r="P153" s="232">
        <f t="shared" si="15"/>
        <v>0</v>
      </c>
      <c r="Q153" s="232">
        <f t="shared" si="16"/>
        <v>8</v>
      </c>
      <c r="R153" s="232">
        <f t="shared" si="17"/>
        <v>-22</v>
      </c>
      <c r="S153" s="230">
        <v>29</v>
      </c>
      <c r="T153" s="234">
        <f t="shared" si="18"/>
        <v>0</v>
      </c>
      <c r="U153" s="234">
        <f t="shared" si="19"/>
        <v>-7920</v>
      </c>
      <c r="V153" s="233">
        <f t="shared" si="20"/>
        <v>129</v>
      </c>
    </row>
    <row r="154" spans="1:22" s="230" customFormat="1" ht="15">
      <c r="A154" s="225" t="s">
        <v>408</v>
      </c>
      <c r="B154" s="226">
        <v>42717</v>
      </c>
      <c r="C154" s="225" t="s">
        <v>409</v>
      </c>
      <c r="D154" s="227">
        <v>104.16</v>
      </c>
      <c r="K154" s="146">
        <v>42717</v>
      </c>
      <c r="L154" s="231"/>
      <c r="M154" s="146">
        <v>42717</v>
      </c>
      <c r="N154" s="146">
        <v>42717</v>
      </c>
      <c r="O154" s="232">
        <f t="shared" si="14"/>
        <v>0</v>
      </c>
      <c r="P154" s="232">
        <f t="shared" si="15"/>
        <v>0</v>
      </c>
      <c r="Q154" s="232">
        <f t="shared" si="16"/>
        <v>0</v>
      </c>
      <c r="R154" s="232">
        <f t="shared" si="17"/>
        <v>-30</v>
      </c>
      <c r="S154" s="230">
        <v>22</v>
      </c>
      <c r="T154" s="234">
        <f t="shared" si="18"/>
        <v>0</v>
      </c>
      <c r="U154" s="234">
        <f t="shared" si="19"/>
        <v>-3124.7999999999997</v>
      </c>
      <c r="V154" s="233">
        <f t="shared" si="20"/>
        <v>122</v>
      </c>
    </row>
    <row r="155" spans="1:22" s="230" customFormat="1" ht="15">
      <c r="A155" s="225" t="s">
        <v>410</v>
      </c>
      <c r="B155" s="226">
        <v>42719</v>
      </c>
      <c r="C155" s="225" t="s">
        <v>411</v>
      </c>
      <c r="D155" s="227">
        <v>118.18</v>
      </c>
      <c r="K155" s="146">
        <v>42719</v>
      </c>
      <c r="L155" s="231"/>
      <c r="M155" s="146">
        <v>42719</v>
      </c>
      <c r="N155" s="146">
        <v>42719</v>
      </c>
      <c r="O155" s="232">
        <f t="shared" si="14"/>
        <v>0</v>
      </c>
      <c r="P155" s="232">
        <f t="shared" si="15"/>
        <v>0</v>
      </c>
      <c r="Q155" s="232">
        <f t="shared" si="16"/>
        <v>0</v>
      </c>
      <c r="R155" s="232">
        <f t="shared" si="17"/>
        <v>-30</v>
      </c>
      <c r="S155" s="230">
        <v>22</v>
      </c>
      <c r="T155" s="234">
        <f t="shared" si="18"/>
        <v>0</v>
      </c>
      <c r="U155" s="234">
        <f t="shared" si="19"/>
        <v>-3545.4</v>
      </c>
      <c r="V155" s="233">
        <f t="shared" si="20"/>
        <v>122</v>
      </c>
    </row>
    <row r="156" spans="1:22" s="230" customFormat="1" ht="15">
      <c r="A156" s="225" t="s">
        <v>412</v>
      </c>
      <c r="B156" s="226">
        <v>42723</v>
      </c>
      <c r="C156" s="225" t="s">
        <v>413</v>
      </c>
      <c r="D156" s="227">
        <v>190.4</v>
      </c>
      <c r="K156" s="146">
        <v>42723</v>
      </c>
      <c r="L156" s="231"/>
      <c r="M156" s="146">
        <v>42723</v>
      </c>
      <c r="N156" s="146">
        <v>42723</v>
      </c>
      <c r="O156" s="232">
        <f t="shared" si="14"/>
        <v>0</v>
      </c>
      <c r="P156" s="232">
        <f t="shared" si="15"/>
        <v>0</v>
      </c>
      <c r="Q156" s="232">
        <f t="shared" si="16"/>
        <v>0</v>
      </c>
      <c r="R156" s="232">
        <f t="shared" si="17"/>
        <v>-30</v>
      </c>
      <c r="S156" s="230">
        <v>22</v>
      </c>
      <c r="T156" s="234">
        <f t="shared" si="18"/>
        <v>0</v>
      </c>
      <c r="U156" s="234">
        <f t="shared" si="19"/>
        <v>-5712</v>
      </c>
      <c r="V156" s="233">
        <f t="shared" si="20"/>
        <v>122</v>
      </c>
    </row>
    <row r="157" spans="1:22" s="230" customFormat="1" ht="15">
      <c r="A157" s="225" t="s">
        <v>414</v>
      </c>
      <c r="B157" s="226">
        <v>42718</v>
      </c>
      <c r="C157" s="225" t="s">
        <v>415</v>
      </c>
      <c r="D157" s="227">
        <v>184.91</v>
      </c>
      <c r="K157" s="146">
        <v>42718</v>
      </c>
      <c r="L157" s="231"/>
      <c r="M157" s="146">
        <v>42718</v>
      </c>
      <c r="N157" s="146">
        <v>42718</v>
      </c>
      <c r="O157" s="232">
        <f t="shared" si="14"/>
        <v>0</v>
      </c>
      <c r="P157" s="232">
        <f t="shared" si="15"/>
        <v>0</v>
      </c>
      <c r="Q157" s="232">
        <f t="shared" si="16"/>
        <v>0</v>
      </c>
      <c r="R157" s="232">
        <f t="shared" si="17"/>
        <v>-30</v>
      </c>
      <c r="S157" s="230">
        <v>22</v>
      </c>
      <c r="T157" s="234">
        <f t="shared" si="18"/>
        <v>0</v>
      </c>
      <c r="U157" s="234">
        <f t="shared" si="19"/>
        <v>-5547.3</v>
      </c>
      <c r="V157" s="233">
        <f t="shared" si="20"/>
        <v>122</v>
      </c>
    </row>
    <row r="158" spans="1:22" s="230" customFormat="1" ht="15">
      <c r="A158" s="225" t="s">
        <v>416</v>
      </c>
      <c r="B158" s="226">
        <v>42723</v>
      </c>
      <c r="C158" s="225" t="s">
        <v>417</v>
      </c>
      <c r="D158" s="227">
        <v>48.34</v>
      </c>
      <c r="K158" s="146">
        <v>42723</v>
      </c>
      <c r="L158" s="231"/>
      <c r="M158" s="146">
        <v>42723</v>
      </c>
      <c r="N158" s="146">
        <v>42723</v>
      </c>
      <c r="O158" s="232">
        <f t="shared" si="14"/>
        <v>0</v>
      </c>
      <c r="P158" s="232">
        <f t="shared" si="15"/>
        <v>0</v>
      </c>
      <c r="Q158" s="232">
        <f t="shared" si="16"/>
        <v>0</v>
      </c>
      <c r="R158" s="232">
        <f t="shared" si="17"/>
        <v>-30</v>
      </c>
      <c r="S158" s="230">
        <v>22</v>
      </c>
      <c r="T158" s="234">
        <f t="shared" si="18"/>
        <v>0</v>
      </c>
      <c r="U158" s="234">
        <f t="shared" si="19"/>
        <v>-1450.2</v>
      </c>
      <c r="V158" s="233">
        <f t="shared" si="20"/>
        <v>122</v>
      </c>
    </row>
    <row r="159" spans="1:22" s="230" customFormat="1" ht="15">
      <c r="A159" s="225" t="s">
        <v>418</v>
      </c>
      <c r="B159" s="226">
        <v>42720</v>
      </c>
      <c r="C159" s="225" t="s">
        <v>419</v>
      </c>
      <c r="D159" s="227">
        <v>108.04</v>
      </c>
      <c r="K159" s="146">
        <v>42720</v>
      </c>
      <c r="L159" s="231"/>
      <c r="M159" s="146">
        <v>42720</v>
      </c>
      <c r="N159" s="146">
        <v>42720</v>
      </c>
      <c r="O159" s="232">
        <f t="shared" si="14"/>
        <v>0</v>
      </c>
      <c r="P159" s="232">
        <f t="shared" si="15"/>
        <v>0</v>
      </c>
      <c r="Q159" s="232">
        <f t="shared" si="16"/>
        <v>0</v>
      </c>
      <c r="R159" s="232">
        <f t="shared" si="17"/>
        <v>-30</v>
      </c>
      <c r="S159" s="230">
        <v>22</v>
      </c>
      <c r="T159" s="234">
        <f t="shared" si="18"/>
        <v>0</v>
      </c>
      <c r="U159" s="234">
        <f t="shared" si="19"/>
        <v>-3241.2000000000003</v>
      </c>
      <c r="V159" s="233">
        <f t="shared" si="20"/>
        <v>122</v>
      </c>
    </row>
    <row r="160" spans="1:22" s="230" customFormat="1" ht="15">
      <c r="A160" s="225" t="s">
        <v>420</v>
      </c>
      <c r="B160" s="226">
        <v>42704</v>
      </c>
      <c r="C160" s="225" t="s">
        <v>421</v>
      </c>
      <c r="D160" s="227">
        <v>40</v>
      </c>
      <c r="K160" s="146">
        <v>42726</v>
      </c>
      <c r="L160" s="231"/>
      <c r="M160" s="146">
        <v>42731</v>
      </c>
      <c r="N160" s="146">
        <v>42731</v>
      </c>
      <c r="O160" s="232">
        <f t="shared" si="14"/>
        <v>5</v>
      </c>
      <c r="P160" s="232">
        <f t="shared" si="15"/>
        <v>0</v>
      </c>
      <c r="Q160" s="232">
        <f t="shared" si="16"/>
        <v>5</v>
      </c>
      <c r="R160" s="232">
        <f t="shared" si="17"/>
        <v>-25</v>
      </c>
      <c r="S160" s="230">
        <v>21</v>
      </c>
      <c r="T160" s="234">
        <f t="shared" si="18"/>
        <v>0</v>
      </c>
      <c r="U160" s="234">
        <f t="shared" si="19"/>
        <v>-1000</v>
      </c>
      <c r="V160" s="233">
        <f t="shared" si="20"/>
        <v>121</v>
      </c>
    </row>
    <row r="161" spans="1:22" s="230" customFormat="1" ht="15">
      <c r="A161" s="225" t="s">
        <v>422</v>
      </c>
      <c r="B161" s="226">
        <v>42717</v>
      </c>
      <c r="C161" s="225" t="s">
        <v>423</v>
      </c>
      <c r="D161" s="227">
        <v>300.69</v>
      </c>
      <c r="K161" s="146">
        <v>42727</v>
      </c>
      <c r="L161" s="231"/>
      <c r="M161" s="146">
        <v>42734</v>
      </c>
      <c r="N161" s="146">
        <v>42734</v>
      </c>
      <c r="O161" s="232">
        <f t="shared" si="14"/>
        <v>7</v>
      </c>
      <c r="P161" s="232">
        <f t="shared" si="15"/>
        <v>0</v>
      </c>
      <c r="Q161" s="232">
        <f t="shared" si="16"/>
        <v>7</v>
      </c>
      <c r="R161" s="232">
        <f t="shared" si="17"/>
        <v>-23</v>
      </c>
      <c r="S161" s="230">
        <v>22</v>
      </c>
      <c r="T161" s="234">
        <f t="shared" si="18"/>
        <v>0</v>
      </c>
      <c r="U161" s="234">
        <f t="shared" si="19"/>
        <v>-6915.87</v>
      </c>
      <c r="V161" s="233">
        <f t="shared" si="20"/>
        <v>122</v>
      </c>
    </row>
    <row r="162" spans="1:22" s="230" customFormat="1" ht="15">
      <c r="A162" s="225" t="s">
        <v>424</v>
      </c>
      <c r="B162" s="226">
        <v>42704</v>
      </c>
      <c r="C162" s="225" t="s">
        <v>425</v>
      </c>
      <c r="D162" s="227">
        <v>653.4</v>
      </c>
      <c r="K162" s="146">
        <v>42727</v>
      </c>
      <c r="L162" s="231"/>
      <c r="M162" s="146">
        <v>42734</v>
      </c>
      <c r="N162" s="146">
        <v>42734</v>
      </c>
      <c r="O162" s="232">
        <f t="shared" si="14"/>
        <v>7</v>
      </c>
      <c r="P162" s="232">
        <f t="shared" si="15"/>
        <v>0</v>
      </c>
      <c r="Q162" s="232">
        <f t="shared" si="16"/>
        <v>7</v>
      </c>
      <c r="R162" s="232">
        <f t="shared" si="17"/>
        <v>-23</v>
      </c>
      <c r="S162" s="230">
        <v>29</v>
      </c>
      <c r="T162" s="234">
        <f t="shared" si="18"/>
        <v>0</v>
      </c>
      <c r="U162" s="234">
        <f t="shared" si="19"/>
        <v>-15028.199999999999</v>
      </c>
      <c r="V162" s="233">
        <f t="shared" si="20"/>
        <v>129</v>
      </c>
    </row>
    <row r="163" spans="1:22" s="230" customFormat="1" ht="15">
      <c r="A163" s="225" t="s">
        <v>426</v>
      </c>
      <c r="B163" s="226">
        <v>42705</v>
      </c>
      <c r="C163" s="225" t="s">
        <v>427</v>
      </c>
      <c r="D163" s="227">
        <v>149.68</v>
      </c>
      <c r="K163" s="146">
        <v>42719</v>
      </c>
      <c r="L163" s="231"/>
      <c r="M163" s="146">
        <v>42719</v>
      </c>
      <c r="N163" s="146">
        <v>42719</v>
      </c>
      <c r="O163" s="232">
        <f t="shared" si="14"/>
        <v>0</v>
      </c>
      <c r="P163" s="232">
        <f t="shared" si="15"/>
        <v>0</v>
      </c>
      <c r="Q163" s="232">
        <f t="shared" si="16"/>
        <v>0</v>
      </c>
      <c r="R163" s="232">
        <f t="shared" si="17"/>
        <v>-30</v>
      </c>
      <c r="S163" s="230">
        <v>29</v>
      </c>
      <c r="T163" s="234">
        <f t="shared" si="18"/>
        <v>0</v>
      </c>
      <c r="U163" s="234">
        <f t="shared" si="19"/>
        <v>-4490.400000000001</v>
      </c>
      <c r="V163" s="233">
        <f t="shared" si="20"/>
        <v>129</v>
      </c>
    </row>
    <row r="164" spans="1:22" s="230" customFormat="1" ht="15">
      <c r="A164" s="225" t="s">
        <v>428</v>
      </c>
      <c r="B164" s="226">
        <v>42708</v>
      </c>
      <c r="C164" s="225" t="s">
        <v>429</v>
      </c>
      <c r="D164" s="227">
        <v>4248</v>
      </c>
      <c r="K164" s="146">
        <v>42719</v>
      </c>
      <c r="L164" s="231"/>
      <c r="M164" s="146">
        <v>42719</v>
      </c>
      <c r="N164" s="146">
        <v>42719</v>
      </c>
      <c r="O164" s="232">
        <f t="shared" si="14"/>
        <v>0</v>
      </c>
      <c r="P164" s="232">
        <f t="shared" si="15"/>
        <v>0</v>
      </c>
      <c r="Q164" s="232">
        <f t="shared" si="16"/>
        <v>0</v>
      </c>
      <c r="R164" s="232">
        <f t="shared" si="17"/>
        <v>-30</v>
      </c>
      <c r="S164" s="230">
        <v>29</v>
      </c>
      <c r="T164" s="234">
        <f t="shared" si="18"/>
        <v>0</v>
      </c>
      <c r="U164" s="234">
        <f t="shared" si="19"/>
        <v>-127440</v>
      </c>
      <c r="V164" s="233">
        <f t="shared" si="20"/>
        <v>129</v>
      </c>
    </row>
    <row r="165" spans="1:22" s="230" customFormat="1" ht="15">
      <c r="A165" s="225" t="s">
        <v>430</v>
      </c>
      <c r="B165" s="226">
        <v>42710</v>
      </c>
      <c r="C165" s="225" t="s">
        <v>431</v>
      </c>
      <c r="D165" s="227">
        <v>2141.7</v>
      </c>
      <c r="K165" s="146">
        <v>42719</v>
      </c>
      <c r="L165" s="231"/>
      <c r="M165" s="146">
        <v>42719</v>
      </c>
      <c r="N165" s="146">
        <v>42719</v>
      </c>
      <c r="O165" s="232">
        <f t="shared" si="14"/>
        <v>0</v>
      </c>
      <c r="P165" s="232">
        <f t="shared" si="15"/>
        <v>0</v>
      </c>
      <c r="Q165" s="232">
        <f t="shared" si="16"/>
        <v>0</v>
      </c>
      <c r="R165" s="232">
        <f t="shared" si="17"/>
        <v>-30</v>
      </c>
      <c r="S165" s="230">
        <v>20</v>
      </c>
      <c r="T165" s="234">
        <f t="shared" si="18"/>
        <v>0</v>
      </c>
      <c r="U165" s="234">
        <f t="shared" si="19"/>
        <v>-64250.99999999999</v>
      </c>
      <c r="V165" s="233">
        <f t="shared" si="20"/>
        <v>120</v>
      </c>
    </row>
    <row r="166" spans="1:22" s="230" customFormat="1" ht="15">
      <c r="A166" s="225" t="s">
        <v>432</v>
      </c>
      <c r="B166" s="226">
        <v>42704</v>
      </c>
      <c r="C166" s="225" t="s">
        <v>433</v>
      </c>
      <c r="D166" s="227">
        <v>740.88</v>
      </c>
      <c r="K166" s="146">
        <v>42727</v>
      </c>
      <c r="L166" s="231"/>
      <c r="M166" s="146">
        <v>42735</v>
      </c>
      <c r="N166" s="146">
        <v>42735</v>
      </c>
      <c r="O166" s="232">
        <f t="shared" si="14"/>
        <v>8</v>
      </c>
      <c r="P166" s="232">
        <f t="shared" si="15"/>
        <v>0</v>
      </c>
      <c r="Q166" s="232">
        <f t="shared" si="16"/>
        <v>8</v>
      </c>
      <c r="R166" s="232">
        <f t="shared" si="17"/>
        <v>-22</v>
      </c>
      <c r="S166" s="230">
        <v>29</v>
      </c>
      <c r="T166" s="234">
        <f t="shared" si="18"/>
        <v>0</v>
      </c>
      <c r="U166" s="234">
        <f t="shared" si="19"/>
        <v>-16299.36</v>
      </c>
      <c r="V166" s="233">
        <f t="shared" si="20"/>
        <v>129</v>
      </c>
    </row>
    <row r="167" spans="1:22" s="230" customFormat="1" ht="15">
      <c r="A167" s="225" t="s">
        <v>434</v>
      </c>
      <c r="B167" s="226">
        <v>42716</v>
      </c>
      <c r="C167" s="225" t="s">
        <v>435</v>
      </c>
      <c r="D167" s="227">
        <v>1222.51</v>
      </c>
      <c r="K167" s="146">
        <v>42727</v>
      </c>
      <c r="L167" s="231"/>
      <c r="M167" s="146">
        <v>42732</v>
      </c>
      <c r="N167" s="146">
        <v>42732</v>
      </c>
      <c r="O167" s="232">
        <f t="shared" si="14"/>
        <v>5</v>
      </c>
      <c r="P167" s="232">
        <f t="shared" si="15"/>
        <v>0</v>
      </c>
      <c r="Q167" s="232">
        <f t="shared" si="16"/>
        <v>5</v>
      </c>
      <c r="R167" s="232">
        <f t="shared" si="17"/>
        <v>-25</v>
      </c>
      <c r="S167" s="230">
        <v>29</v>
      </c>
      <c r="T167" s="234">
        <f t="shared" si="18"/>
        <v>0</v>
      </c>
      <c r="U167" s="234">
        <f t="shared" si="19"/>
        <v>-30562.75</v>
      </c>
      <c r="V167" s="233">
        <f t="shared" si="20"/>
        <v>129</v>
      </c>
    </row>
    <row r="168" spans="1:22" s="230" customFormat="1" ht="15">
      <c r="A168" s="225" t="s">
        <v>436</v>
      </c>
      <c r="B168" s="226">
        <v>42716</v>
      </c>
      <c r="C168" s="225" t="s">
        <v>437</v>
      </c>
      <c r="D168" s="227">
        <v>929.28</v>
      </c>
      <c r="K168" s="146">
        <v>42727</v>
      </c>
      <c r="L168" s="231"/>
      <c r="M168" s="146">
        <v>42732</v>
      </c>
      <c r="N168" s="146">
        <v>42732</v>
      </c>
      <c r="O168" s="232">
        <f t="shared" si="14"/>
        <v>5</v>
      </c>
      <c r="P168" s="232">
        <f t="shared" si="15"/>
        <v>0</v>
      </c>
      <c r="Q168" s="232">
        <f t="shared" si="16"/>
        <v>5</v>
      </c>
      <c r="R168" s="232">
        <f t="shared" si="17"/>
        <v>-25</v>
      </c>
      <c r="S168" s="230">
        <v>29</v>
      </c>
      <c r="T168" s="234">
        <f t="shared" si="18"/>
        <v>0</v>
      </c>
      <c r="U168" s="234">
        <f t="shared" si="19"/>
        <v>-23232</v>
      </c>
      <c r="V168" s="233">
        <f t="shared" si="20"/>
        <v>129</v>
      </c>
    </row>
    <row r="169" spans="1:22" s="230" customFormat="1" ht="15">
      <c r="A169" s="225" t="s">
        <v>438</v>
      </c>
      <c r="B169" s="226">
        <v>42716</v>
      </c>
      <c r="C169" s="225" t="s">
        <v>439</v>
      </c>
      <c r="D169" s="227">
        <v>79.86</v>
      </c>
      <c r="K169" s="146">
        <v>42727</v>
      </c>
      <c r="L169" s="231"/>
      <c r="M169" s="146">
        <v>42732</v>
      </c>
      <c r="N169" s="146">
        <v>42732</v>
      </c>
      <c r="O169" s="232">
        <f t="shared" si="14"/>
        <v>5</v>
      </c>
      <c r="P169" s="232">
        <f t="shared" si="15"/>
        <v>0</v>
      </c>
      <c r="Q169" s="232">
        <f t="shared" si="16"/>
        <v>5</v>
      </c>
      <c r="R169" s="232">
        <f t="shared" si="17"/>
        <v>-25</v>
      </c>
      <c r="S169" s="230">
        <v>29</v>
      </c>
      <c r="T169" s="234">
        <f t="shared" si="18"/>
        <v>0</v>
      </c>
      <c r="U169" s="234">
        <f t="shared" si="19"/>
        <v>-1996.5</v>
      </c>
      <c r="V169" s="233">
        <f t="shared" si="20"/>
        <v>129</v>
      </c>
    </row>
    <row r="170" spans="1:22" s="230" customFormat="1" ht="15">
      <c r="A170" s="225" t="s">
        <v>440</v>
      </c>
      <c r="B170" s="226">
        <v>42716</v>
      </c>
      <c r="C170" s="225" t="s">
        <v>441</v>
      </c>
      <c r="D170" s="227">
        <v>200</v>
      </c>
      <c r="K170" s="146">
        <v>42718</v>
      </c>
      <c r="L170" s="231"/>
      <c r="M170" s="146">
        <v>42718</v>
      </c>
      <c r="N170" s="146">
        <v>42718</v>
      </c>
      <c r="O170" s="232">
        <f t="shared" si="14"/>
        <v>0</v>
      </c>
      <c r="P170" s="232">
        <f t="shared" si="15"/>
        <v>0</v>
      </c>
      <c r="Q170" s="232">
        <f t="shared" si="16"/>
        <v>0</v>
      </c>
      <c r="R170" s="232">
        <f t="shared" si="17"/>
        <v>-30</v>
      </c>
      <c r="S170" s="230">
        <v>29</v>
      </c>
      <c r="T170" s="234">
        <f t="shared" si="18"/>
        <v>0</v>
      </c>
      <c r="U170" s="234">
        <f t="shared" si="19"/>
        <v>-6000</v>
      </c>
      <c r="V170" s="233">
        <f t="shared" si="20"/>
        <v>129</v>
      </c>
    </row>
    <row r="171" spans="1:22" s="230" customFormat="1" ht="15">
      <c r="A171" s="225" t="s">
        <v>442</v>
      </c>
      <c r="B171" s="226">
        <v>42704</v>
      </c>
      <c r="C171" s="225" t="s">
        <v>443</v>
      </c>
      <c r="D171" s="227">
        <v>534.08</v>
      </c>
      <c r="K171" s="146">
        <v>42727</v>
      </c>
      <c r="L171" s="231"/>
      <c r="M171" s="146">
        <v>42734</v>
      </c>
      <c r="N171" s="146">
        <v>42734</v>
      </c>
      <c r="O171" s="232">
        <f t="shared" si="14"/>
        <v>7</v>
      </c>
      <c r="P171" s="232">
        <f t="shared" si="15"/>
        <v>0</v>
      </c>
      <c r="Q171" s="232">
        <f t="shared" si="16"/>
        <v>7</v>
      </c>
      <c r="R171" s="232">
        <f t="shared" si="17"/>
        <v>-23</v>
      </c>
      <c r="S171" s="230">
        <v>22</v>
      </c>
      <c r="T171" s="234">
        <f t="shared" si="18"/>
        <v>0</v>
      </c>
      <c r="U171" s="234">
        <f t="shared" si="19"/>
        <v>-12283.84</v>
      </c>
      <c r="V171" s="233">
        <f t="shared" si="20"/>
        <v>122</v>
      </c>
    </row>
    <row r="172" spans="1:22" s="230" customFormat="1" ht="15">
      <c r="A172" s="225" t="s">
        <v>444</v>
      </c>
      <c r="B172" s="226">
        <v>42705</v>
      </c>
      <c r="C172" s="225" t="s">
        <v>445</v>
      </c>
      <c r="D172" s="227">
        <v>39.4</v>
      </c>
      <c r="K172" s="146">
        <v>42727</v>
      </c>
      <c r="L172" s="231"/>
      <c r="M172" s="146">
        <v>42734</v>
      </c>
      <c r="N172" s="146">
        <v>42734</v>
      </c>
      <c r="O172" s="232">
        <f t="shared" si="14"/>
        <v>7</v>
      </c>
      <c r="P172" s="232">
        <f t="shared" si="15"/>
        <v>0</v>
      </c>
      <c r="Q172" s="232">
        <f t="shared" si="16"/>
        <v>7</v>
      </c>
      <c r="R172" s="232">
        <f t="shared" si="17"/>
        <v>-23</v>
      </c>
      <c r="S172" s="230">
        <v>22</v>
      </c>
      <c r="T172" s="234">
        <f t="shared" si="18"/>
        <v>0</v>
      </c>
      <c r="U172" s="234">
        <f t="shared" si="19"/>
        <v>-906.1999999999999</v>
      </c>
      <c r="V172" s="233">
        <f t="shared" si="20"/>
        <v>122</v>
      </c>
    </row>
    <row r="173" spans="1:22" s="230" customFormat="1" ht="15">
      <c r="A173" s="225" t="s">
        <v>446</v>
      </c>
      <c r="B173" s="226">
        <v>42716</v>
      </c>
      <c r="C173" s="225" t="s">
        <v>447</v>
      </c>
      <c r="D173" s="227">
        <v>31.58</v>
      </c>
      <c r="K173" s="146">
        <v>42727</v>
      </c>
      <c r="L173" s="231"/>
      <c r="M173" s="146">
        <v>42734</v>
      </c>
      <c r="N173" s="146">
        <v>42734</v>
      </c>
      <c r="O173" s="232">
        <f t="shared" si="14"/>
        <v>7</v>
      </c>
      <c r="P173" s="232">
        <f t="shared" si="15"/>
        <v>0</v>
      </c>
      <c r="Q173" s="232">
        <f t="shared" si="16"/>
        <v>7</v>
      </c>
      <c r="R173" s="232">
        <f t="shared" si="17"/>
        <v>-23</v>
      </c>
      <c r="S173" s="230">
        <v>22</v>
      </c>
      <c r="T173" s="234">
        <f t="shared" si="18"/>
        <v>0</v>
      </c>
      <c r="U173" s="234">
        <f t="shared" si="19"/>
        <v>-726.3399999999999</v>
      </c>
      <c r="V173" s="233">
        <f t="shared" si="20"/>
        <v>122</v>
      </c>
    </row>
    <row r="174" spans="1:22" s="230" customFormat="1" ht="15">
      <c r="A174" s="225" t="s">
        <v>448</v>
      </c>
      <c r="B174" s="226">
        <v>42689</v>
      </c>
      <c r="C174" s="225" t="s">
        <v>449</v>
      </c>
      <c r="D174" s="227">
        <v>12997.89</v>
      </c>
      <c r="K174" s="146">
        <v>42699</v>
      </c>
      <c r="L174" s="231"/>
      <c r="M174" s="146">
        <v>42699</v>
      </c>
      <c r="N174" s="146">
        <v>42699</v>
      </c>
      <c r="O174" s="232">
        <f t="shared" si="14"/>
        <v>0</v>
      </c>
      <c r="P174" s="232">
        <f t="shared" si="15"/>
        <v>0</v>
      </c>
      <c r="Q174" s="232">
        <f t="shared" si="16"/>
        <v>0</v>
      </c>
      <c r="R174" s="232">
        <f t="shared" si="17"/>
        <v>-30</v>
      </c>
      <c r="S174" s="230">
        <v>29</v>
      </c>
      <c r="T174" s="234">
        <f t="shared" si="18"/>
        <v>0</v>
      </c>
      <c r="U174" s="234">
        <f t="shared" si="19"/>
        <v>-389936.69999999995</v>
      </c>
      <c r="V174" s="233">
        <f t="shared" si="20"/>
        <v>129</v>
      </c>
    </row>
    <row r="175" spans="1:22" s="230" customFormat="1" ht="15">
      <c r="A175" s="225" t="s">
        <v>450</v>
      </c>
      <c r="B175" s="226">
        <v>42724</v>
      </c>
      <c r="C175" s="225" t="s">
        <v>451</v>
      </c>
      <c r="D175" s="227">
        <v>30</v>
      </c>
      <c r="K175" s="146">
        <v>42730</v>
      </c>
      <c r="L175" s="231"/>
      <c r="M175" s="146">
        <v>42734</v>
      </c>
      <c r="N175" s="146">
        <v>42734</v>
      </c>
      <c r="O175" s="232">
        <f t="shared" si="14"/>
        <v>4</v>
      </c>
      <c r="P175" s="232">
        <f t="shared" si="15"/>
        <v>0</v>
      </c>
      <c r="Q175" s="232">
        <f t="shared" si="16"/>
        <v>4</v>
      </c>
      <c r="R175" s="232">
        <f t="shared" si="17"/>
        <v>-26</v>
      </c>
      <c r="S175" s="230">
        <v>29</v>
      </c>
      <c r="T175" s="234">
        <f t="shared" si="18"/>
        <v>0</v>
      </c>
      <c r="U175" s="234">
        <f t="shared" si="19"/>
        <v>-780</v>
      </c>
      <c r="V175" s="233">
        <f t="shared" si="20"/>
        <v>129</v>
      </c>
    </row>
    <row r="176" spans="1:22" s="230" customFormat="1" ht="15">
      <c r="A176" s="225" t="s">
        <v>452</v>
      </c>
      <c r="B176" s="226">
        <v>42704</v>
      </c>
      <c r="C176" s="225" t="s">
        <v>453</v>
      </c>
      <c r="D176" s="227">
        <v>81.99</v>
      </c>
      <c r="K176" s="146">
        <v>42704</v>
      </c>
      <c r="L176" s="231"/>
      <c r="M176" s="146">
        <v>42704</v>
      </c>
      <c r="N176" s="146">
        <v>42704</v>
      </c>
      <c r="O176" s="232">
        <f t="shared" si="14"/>
        <v>0</v>
      </c>
      <c r="P176" s="232">
        <f t="shared" si="15"/>
        <v>0</v>
      </c>
      <c r="Q176" s="232">
        <f t="shared" si="16"/>
        <v>0</v>
      </c>
      <c r="R176" s="232">
        <f t="shared" si="17"/>
        <v>-30</v>
      </c>
      <c r="S176" s="230">
        <v>29</v>
      </c>
      <c r="T176" s="234">
        <f t="shared" si="18"/>
        <v>0</v>
      </c>
      <c r="U176" s="234">
        <f t="shared" si="19"/>
        <v>-2459.7</v>
      </c>
      <c r="V176" s="233">
        <f t="shared" si="20"/>
        <v>129</v>
      </c>
    </row>
    <row r="177" spans="1:22" s="230" customFormat="1" ht="15">
      <c r="A177" s="225" t="s">
        <v>454</v>
      </c>
      <c r="B177" s="226">
        <v>42705</v>
      </c>
      <c r="C177" s="225" t="s">
        <v>455</v>
      </c>
      <c r="D177" s="227">
        <v>54.68</v>
      </c>
      <c r="K177" s="146">
        <v>42705</v>
      </c>
      <c r="L177" s="231"/>
      <c r="M177" s="146">
        <v>42705</v>
      </c>
      <c r="N177" s="146">
        <v>42705</v>
      </c>
      <c r="O177" s="232">
        <f t="shared" si="14"/>
        <v>0</v>
      </c>
      <c r="P177" s="232">
        <f t="shared" si="15"/>
        <v>0</v>
      </c>
      <c r="Q177" s="232">
        <f t="shared" si="16"/>
        <v>0</v>
      </c>
      <c r="R177" s="232">
        <f t="shared" si="17"/>
        <v>-30</v>
      </c>
      <c r="S177" s="230">
        <v>21</v>
      </c>
      <c r="T177" s="234">
        <f t="shared" si="18"/>
        <v>0</v>
      </c>
      <c r="U177" s="234">
        <f t="shared" si="19"/>
        <v>-1640.4</v>
      </c>
      <c r="V177" s="233">
        <f t="shared" si="20"/>
        <v>121</v>
      </c>
    </row>
    <row r="178" spans="1:22" s="230" customFormat="1" ht="15">
      <c r="A178" s="225" t="s">
        <v>456</v>
      </c>
      <c r="B178" s="226">
        <v>42705</v>
      </c>
      <c r="C178" s="225" t="s">
        <v>457</v>
      </c>
      <c r="D178" s="227">
        <v>1931.16</v>
      </c>
      <c r="K178" s="146">
        <v>42730</v>
      </c>
      <c r="L178" s="231"/>
      <c r="M178" s="146">
        <v>42734</v>
      </c>
      <c r="N178" s="146">
        <v>42734</v>
      </c>
      <c r="O178" s="232">
        <f t="shared" si="14"/>
        <v>4</v>
      </c>
      <c r="P178" s="232">
        <f t="shared" si="15"/>
        <v>0</v>
      </c>
      <c r="Q178" s="232">
        <f t="shared" si="16"/>
        <v>4</v>
      </c>
      <c r="R178" s="232">
        <f t="shared" si="17"/>
        <v>-26</v>
      </c>
      <c r="S178" s="230">
        <v>21</v>
      </c>
      <c r="T178" s="234">
        <f t="shared" si="18"/>
        <v>0</v>
      </c>
      <c r="U178" s="234">
        <f t="shared" si="19"/>
        <v>-50210.16</v>
      </c>
      <c r="V178" s="233">
        <f t="shared" si="20"/>
        <v>121</v>
      </c>
    </row>
    <row r="179" spans="1:22" s="230" customFormat="1" ht="15">
      <c r="A179" s="225" t="s">
        <v>458</v>
      </c>
      <c r="B179" s="226">
        <v>42702</v>
      </c>
      <c r="C179" s="225" t="s">
        <v>459</v>
      </c>
      <c r="D179" s="227">
        <v>499.06</v>
      </c>
      <c r="K179" s="146">
        <v>42730</v>
      </c>
      <c r="L179" s="231"/>
      <c r="M179" s="146">
        <v>42734</v>
      </c>
      <c r="N179" s="146">
        <v>42734</v>
      </c>
      <c r="O179" s="232">
        <f t="shared" si="14"/>
        <v>4</v>
      </c>
      <c r="P179" s="232">
        <f t="shared" si="15"/>
        <v>0</v>
      </c>
      <c r="Q179" s="232">
        <f t="shared" si="16"/>
        <v>4</v>
      </c>
      <c r="R179" s="232">
        <f t="shared" si="17"/>
        <v>-26</v>
      </c>
      <c r="S179" s="230">
        <v>29</v>
      </c>
      <c r="T179" s="234">
        <f t="shared" si="18"/>
        <v>0</v>
      </c>
      <c r="U179" s="234">
        <f t="shared" si="19"/>
        <v>-12975.56</v>
      </c>
      <c r="V179" s="233">
        <f t="shared" si="20"/>
        <v>129</v>
      </c>
    </row>
    <row r="180" spans="1:22" s="230" customFormat="1" ht="15">
      <c r="A180" s="225" t="s">
        <v>460</v>
      </c>
      <c r="B180" s="226">
        <v>42704</v>
      </c>
      <c r="C180" s="225" t="s">
        <v>461</v>
      </c>
      <c r="D180" s="227">
        <v>119.19</v>
      </c>
      <c r="K180" s="146">
        <v>42704</v>
      </c>
      <c r="L180" s="231"/>
      <c r="M180" s="146">
        <v>42704</v>
      </c>
      <c r="N180" s="146">
        <v>42704</v>
      </c>
      <c r="O180" s="232">
        <f t="shared" si="14"/>
        <v>0</v>
      </c>
      <c r="P180" s="232">
        <f t="shared" si="15"/>
        <v>0</v>
      </c>
      <c r="Q180" s="232">
        <f t="shared" si="16"/>
        <v>0</v>
      </c>
      <c r="R180" s="232">
        <f t="shared" si="17"/>
        <v>-30</v>
      </c>
      <c r="S180" s="230">
        <v>29</v>
      </c>
      <c r="T180" s="234">
        <f t="shared" si="18"/>
        <v>0</v>
      </c>
      <c r="U180" s="234">
        <f t="shared" si="19"/>
        <v>-3575.7</v>
      </c>
      <c r="V180" s="233">
        <f t="shared" si="20"/>
        <v>129</v>
      </c>
    </row>
    <row r="181" spans="1:22" s="230" customFormat="1" ht="15">
      <c r="A181" s="225" t="s">
        <v>462</v>
      </c>
      <c r="B181" s="226">
        <v>42704</v>
      </c>
      <c r="C181" s="225" t="s">
        <v>463</v>
      </c>
      <c r="D181" s="227">
        <v>1188.85</v>
      </c>
      <c r="K181" s="146">
        <v>42730</v>
      </c>
      <c r="L181" s="231"/>
      <c r="M181" s="146">
        <v>42734</v>
      </c>
      <c r="N181" s="146">
        <v>42734</v>
      </c>
      <c r="O181" s="232">
        <f t="shared" si="14"/>
        <v>4</v>
      </c>
      <c r="P181" s="232">
        <f t="shared" si="15"/>
        <v>0</v>
      </c>
      <c r="Q181" s="232">
        <f t="shared" si="16"/>
        <v>4</v>
      </c>
      <c r="R181" s="232">
        <f t="shared" si="17"/>
        <v>-26</v>
      </c>
      <c r="S181" s="230">
        <v>29</v>
      </c>
      <c r="T181" s="234">
        <f t="shared" si="18"/>
        <v>0</v>
      </c>
      <c r="U181" s="234">
        <f t="shared" si="19"/>
        <v>-30910.1</v>
      </c>
      <c r="V181" s="233">
        <f t="shared" si="20"/>
        <v>129</v>
      </c>
    </row>
    <row r="182" spans="1:22" s="230" customFormat="1" ht="15">
      <c r="A182" s="225" t="s">
        <v>464</v>
      </c>
      <c r="B182" s="226">
        <v>42704</v>
      </c>
      <c r="C182" s="225" t="s">
        <v>465</v>
      </c>
      <c r="D182" s="227">
        <v>34.85</v>
      </c>
      <c r="K182" s="146">
        <v>42730</v>
      </c>
      <c r="L182" s="231"/>
      <c r="M182" s="146">
        <v>42734</v>
      </c>
      <c r="N182" s="146">
        <v>42734</v>
      </c>
      <c r="O182" s="232">
        <f t="shared" si="14"/>
        <v>4</v>
      </c>
      <c r="P182" s="232">
        <f t="shared" si="15"/>
        <v>0</v>
      </c>
      <c r="Q182" s="232">
        <f t="shared" si="16"/>
        <v>4</v>
      </c>
      <c r="R182" s="232">
        <f t="shared" si="17"/>
        <v>-26</v>
      </c>
      <c r="S182" s="230">
        <v>22</v>
      </c>
      <c r="T182" s="234">
        <f t="shared" si="18"/>
        <v>0</v>
      </c>
      <c r="U182" s="234">
        <f t="shared" si="19"/>
        <v>-906.1</v>
      </c>
      <c r="V182" s="233">
        <f t="shared" si="20"/>
        <v>122</v>
      </c>
    </row>
    <row r="183" spans="1:22" s="230" customFormat="1" ht="15">
      <c r="A183" s="225" t="s">
        <v>466</v>
      </c>
      <c r="B183" s="226">
        <v>42697</v>
      </c>
      <c r="C183" s="225" t="s">
        <v>467</v>
      </c>
      <c r="D183" s="227">
        <v>640.26</v>
      </c>
      <c r="K183" s="146">
        <v>42731</v>
      </c>
      <c r="L183" s="231"/>
      <c r="M183" s="146">
        <v>42732</v>
      </c>
      <c r="N183" s="146">
        <v>42732</v>
      </c>
      <c r="O183" s="232">
        <f t="shared" si="14"/>
        <v>1</v>
      </c>
      <c r="P183" s="232">
        <f t="shared" si="15"/>
        <v>0</v>
      </c>
      <c r="Q183" s="232">
        <f t="shared" si="16"/>
        <v>1</v>
      </c>
      <c r="R183" s="232">
        <f t="shared" si="17"/>
        <v>-29</v>
      </c>
      <c r="S183" s="230">
        <v>22</v>
      </c>
      <c r="T183" s="234">
        <f t="shared" si="18"/>
        <v>0</v>
      </c>
      <c r="U183" s="234">
        <f t="shared" si="19"/>
        <v>-18567.54</v>
      </c>
      <c r="V183" s="233">
        <f t="shared" si="20"/>
        <v>122</v>
      </c>
    </row>
    <row r="184" spans="1:22" s="230" customFormat="1" ht="15">
      <c r="A184" s="225" t="s">
        <v>468</v>
      </c>
      <c r="B184" s="226">
        <v>42719</v>
      </c>
      <c r="C184" s="225" t="s">
        <v>469</v>
      </c>
      <c r="D184" s="227">
        <v>60.94</v>
      </c>
      <c r="K184" s="146">
        <v>42719</v>
      </c>
      <c r="L184" s="231"/>
      <c r="M184" s="146">
        <v>42719</v>
      </c>
      <c r="N184" s="146">
        <v>42719</v>
      </c>
      <c r="O184" s="232">
        <f t="shared" si="14"/>
        <v>0</v>
      </c>
      <c r="P184" s="232">
        <f t="shared" si="15"/>
        <v>0</v>
      </c>
      <c r="Q184" s="232">
        <f t="shared" si="16"/>
        <v>0</v>
      </c>
      <c r="R184" s="232">
        <f t="shared" si="17"/>
        <v>-30</v>
      </c>
      <c r="S184" s="230">
        <v>22</v>
      </c>
      <c r="T184" s="234">
        <f t="shared" si="18"/>
        <v>0</v>
      </c>
      <c r="U184" s="234">
        <f t="shared" si="19"/>
        <v>-1828.1999999999998</v>
      </c>
      <c r="V184" s="233">
        <f t="shared" si="20"/>
        <v>122</v>
      </c>
    </row>
    <row r="185" spans="1:22" s="230" customFormat="1" ht="15">
      <c r="A185" s="225" t="s">
        <v>470</v>
      </c>
      <c r="B185" s="226">
        <v>42719</v>
      </c>
      <c r="C185" s="225" t="s">
        <v>471</v>
      </c>
      <c r="D185" s="227">
        <v>113.02</v>
      </c>
      <c r="K185" s="146">
        <v>42719</v>
      </c>
      <c r="L185" s="231"/>
      <c r="M185" s="146">
        <v>42719</v>
      </c>
      <c r="N185" s="146">
        <v>42719</v>
      </c>
      <c r="O185" s="232">
        <f t="shared" si="14"/>
        <v>0</v>
      </c>
      <c r="P185" s="232">
        <f t="shared" si="15"/>
        <v>0</v>
      </c>
      <c r="Q185" s="232">
        <f t="shared" si="16"/>
        <v>0</v>
      </c>
      <c r="R185" s="232">
        <f t="shared" si="17"/>
        <v>-30</v>
      </c>
      <c r="S185" s="230">
        <v>22</v>
      </c>
      <c r="T185" s="234">
        <f t="shared" si="18"/>
        <v>0</v>
      </c>
      <c r="U185" s="234">
        <f t="shared" si="19"/>
        <v>-3390.6</v>
      </c>
      <c r="V185" s="233">
        <f t="shared" si="20"/>
        <v>122</v>
      </c>
    </row>
    <row r="186" spans="1:22" s="230" customFormat="1" ht="15">
      <c r="A186" s="225" t="s">
        <v>472</v>
      </c>
      <c r="B186" s="226">
        <v>42719</v>
      </c>
      <c r="C186" s="225" t="s">
        <v>473</v>
      </c>
      <c r="D186" s="227">
        <v>118.92</v>
      </c>
      <c r="K186" s="146">
        <v>42719</v>
      </c>
      <c r="L186" s="231"/>
      <c r="M186" s="146">
        <v>42719</v>
      </c>
      <c r="N186" s="146">
        <v>42719</v>
      </c>
      <c r="O186" s="232">
        <f t="shared" si="14"/>
        <v>0</v>
      </c>
      <c r="P186" s="232">
        <f t="shared" si="15"/>
        <v>0</v>
      </c>
      <c r="Q186" s="232">
        <f t="shared" si="16"/>
        <v>0</v>
      </c>
      <c r="R186" s="232">
        <f t="shared" si="17"/>
        <v>-30</v>
      </c>
      <c r="S186" s="230">
        <v>22</v>
      </c>
      <c r="T186" s="234">
        <f t="shared" si="18"/>
        <v>0</v>
      </c>
      <c r="U186" s="234">
        <f t="shared" si="19"/>
        <v>-3567.6</v>
      </c>
      <c r="V186" s="233">
        <f t="shared" si="20"/>
        <v>122</v>
      </c>
    </row>
    <row r="187" spans="1:22" s="230" customFormat="1" ht="15">
      <c r="A187" s="225" t="s">
        <v>474</v>
      </c>
      <c r="B187" s="226">
        <v>42724</v>
      </c>
      <c r="C187" s="225" t="s">
        <v>475</v>
      </c>
      <c r="D187" s="227">
        <v>76.75</v>
      </c>
      <c r="K187" s="146">
        <v>42724</v>
      </c>
      <c r="L187" s="231"/>
      <c r="M187" s="146">
        <v>42724</v>
      </c>
      <c r="N187" s="146">
        <v>42724</v>
      </c>
      <c r="O187" s="232">
        <f t="shared" si="14"/>
        <v>0</v>
      </c>
      <c r="P187" s="232">
        <f t="shared" si="15"/>
        <v>0</v>
      </c>
      <c r="Q187" s="232">
        <f t="shared" si="16"/>
        <v>0</v>
      </c>
      <c r="R187" s="232">
        <f t="shared" si="17"/>
        <v>-30</v>
      </c>
      <c r="S187" s="230">
        <v>22</v>
      </c>
      <c r="T187" s="234">
        <f t="shared" si="18"/>
        <v>0</v>
      </c>
      <c r="U187" s="234">
        <f t="shared" si="19"/>
        <v>-2302.5</v>
      </c>
      <c r="V187" s="233">
        <f t="shared" si="20"/>
        <v>122</v>
      </c>
    </row>
    <row r="188" spans="1:22" s="230" customFormat="1" ht="15">
      <c r="A188" s="225" t="s">
        <v>476</v>
      </c>
      <c r="B188" s="226">
        <v>42726</v>
      </c>
      <c r="C188" s="225" t="s">
        <v>477</v>
      </c>
      <c r="D188" s="227">
        <v>154.7</v>
      </c>
      <c r="K188" s="146">
        <v>42726</v>
      </c>
      <c r="L188" s="231"/>
      <c r="M188" s="146">
        <v>42726</v>
      </c>
      <c r="N188" s="146">
        <v>42726</v>
      </c>
      <c r="O188" s="232">
        <f t="shared" si="14"/>
        <v>0</v>
      </c>
      <c r="P188" s="232">
        <f t="shared" si="15"/>
        <v>0</v>
      </c>
      <c r="Q188" s="232">
        <f t="shared" si="16"/>
        <v>0</v>
      </c>
      <c r="R188" s="232">
        <f t="shared" si="17"/>
        <v>-30</v>
      </c>
      <c r="S188" s="230">
        <v>22</v>
      </c>
      <c r="T188" s="234">
        <f t="shared" si="18"/>
        <v>0</v>
      </c>
      <c r="U188" s="234">
        <f t="shared" si="19"/>
        <v>-4641</v>
      </c>
      <c r="V188" s="233">
        <f t="shared" si="20"/>
        <v>122</v>
      </c>
    </row>
    <row r="189" spans="1:22" s="230" customFormat="1" ht="15">
      <c r="A189" s="225" t="s">
        <v>478</v>
      </c>
      <c r="B189" s="226">
        <v>42727</v>
      </c>
      <c r="C189" s="225" t="s">
        <v>479</v>
      </c>
      <c r="D189" s="227">
        <v>189.3</v>
      </c>
      <c r="K189" s="146">
        <v>42727</v>
      </c>
      <c r="L189" s="231"/>
      <c r="M189" s="146">
        <v>42727</v>
      </c>
      <c r="N189" s="146">
        <v>42727</v>
      </c>
      <c r="O189" s="232">
        <f t="shared" si="14"/>
        <v>0</v>
      </c>
      <c r="P189" s="232">
        <f t="shared" si="15"/>
        <v>0</v>
      </c>
      <c r="Q189" s="232">
        <f t="shared" si="16"/>
        <v>0</v>
      </c>
      <c r="R189" s="232">
        <f t="shared" si="17"/>
        <v>-30</v>
      </c>
      <c r="S189" s="230">
        <v>22</v>
      </c>
      <c r="T189" s="234">
        <f t="shared" si="18"/>
        <v>0</v>
      </c>
      <c r="U189" s="234">
        <f t="shared" si="19"/>
        <v>-5679</v>
      </c>
      <c r="V189" s="233">
        <f t="shared" si="20"/>
        <v>122</v>
      </c>
    </row>
    <row r="190" spans="1:22" s="230" customFormat="1" ht="15">
      <c r="A190" s="225" t="s">
        <v>480</v>
      </c>
      <c r="B190" s="226">
        <v>42730</v>
      </c>
      <c r="C190" s="225" t="s">
        <v>481</v>
      </c>
      <c r="D190" s="227">
        <v>300.2</v>
      </c>
      <c r="K190" s="146">
        <v>42730</v>
      </c>
      <c r="L190" s="231"/>
      <c r="M190" s="146">
        <v>42730</v>
      </c>
      <c r="N190" s="146">
        <v>42730</v>
      </c>
      <c r="O190" s="232">
        <f t="shared" si="14"/>
        <v>0</v>
      </c>
      <c r="P190" s="232">
        <f t="shared" si="15"/>
        <v>0</v>
      </c>
      <c r="Q190" s="232">
        <f t="shared" si="16"/>
        <v>0</v>
      </c>
      <c r="R190" s="232">
        <f t="shared" si="17"/>
        <v>-30</v>
      </c>
      <c r="S190" s="230">
        <v>22</v>
      </c>
      <c r="T190" s="234">
        <f t="shared" si="18"/>
        <v>0</v>
      </c>
      <c r="U190" s="234">
        <f t="shared" si="19"/>
        <v>-9006</v>
      </c>
      <c r="V190" s="233">
        <f t="shared" si="20"/>
        <v>122</v>
      </c>
    </row>
    <row r="191" spans="1:22" s="230" customFormat="1" ht="15">
      <c r="A191" s="225" t="s">
        <v>482</v>
      </c>
      <c r="B191" s="226">
        <v>42731</v>
      </c>
      <c r="C191" s="225" t="s">
        <v>483</v>
      </c>
      <c r="D191" s="227">
        <v>92.36</v>
      </c>
      <c r="K191" s="146">
        <v>42731</v>
      </c>
      <c r="L191" s="231"/>
      <c r="M191" s="146">
        <v>42731</v>
      </c>
      <c r="N191" s="146">
        <v>42731</v>
      </c>
      <c r="O191" s="232">
        <f t="shared" si="14"/>
        <v>0</v>
      </c>
      <c r="P191" s="232">
        <f t="shared" si="15"/>
        <v>0</v>
      </c>
      <c r="Q191" s="232">
        <f t="shared" si="16"/>
        <v>0</v>
      </c>
      <c r="R191" s="232">
        <f t="shared" si="17"/>
        <v>-30</v>
      </c>
      <c r="S191" s="230">
        <v>22</v>
      </c>
      <c r="T191" s="234">
        <f t="shared" si="18"/>
        <v>0</v>
      </c>
      <c r="U191" s="234">
        <f t="shared" si="19"/>
        <v>-2770.8</v>
      </c>
      <c r="V191" s="233">
        <f t="shared" si="20"/>
        <v>122</v>
      </c>
    </row>
    <row r="192" spans="1:22" s="230" customFormat="1" ht="15">
      <c r="A192" s="225" t="s">
        <v>484</v>
      </c>
      <c r="B192" s="226">
        <v>42732</v>
      </c>
      <c r="C192" s="225" t="s">
        <v>485</v>
      </c>
      <c r="D192" s="227">
        <v>39.92</v>
      </c>
      <c r="K192" s="146">
        <v>42732</v>
      </c>
      <c r="L192" s="231"/>
      <c r="M192" s="146">
        <v>42732</v>
      </c>
      <c r="N192" s="146">
        <v>42732</v>
      </c>
      <c r="O192" s="232">
        <f t="shared" si="14"/>
        <v>0</v>
      </c>
      <c r="P192" s="232">
        <f t="shared" si="15"/>
        <v>0</v>
      </c>
      <c r="Q192" s="232">
        <f t="shared" si="16"/>
        <v>0</v>
      </c>
      <c r="R192" s="232">
        <f t="shared" si="17"/>
        <v>-30</v>
      </c>
      <c r="S192" s="230">
        <v>22</v>
      </c>
      <c r="T192" s="234">
        <f t="shared" si="18"/>
        <v>0</v>
      </c>
      <c r="U192" s="234">
        <f t="shared" si="19"/>
        <v>-1197.6000000000001</v>
      </c>
      <c r="V192" s="233">
        <f t="shared" si="20"/>
        <v>122</v>
      </c>
    </row>
    <row r="193" spans="1:22" s="230" customFormat="1" ht="15">
      <c r="A193" s="225" t="s">
        <v>486</v>
      </c>
      <c r="B193" s="226">
        <v>42704</v>
      </c>
      <c r="C193" s="225" t="s">
        <v>487</v>
      </c>
      <c r="D193" s="227">
        <v>1684.32</v>
      </c>
      <c r="K193" s="146">
        <v>42734</v>
      </c>
      <c r="L193" s="231"/>
      <c r="M193" s="146">
        <v>42734</v>
      </c>
      <c r="N193" s="146">
        <v>42734</v>
      </c>
      <c r="O193" s="232">
        <f t="shared" si="14"/>
        <v>0</v>
      </c>
      <c r="P193" s="232">
        <f t="shared" si="15"/>
        <v>0</v>
      </c>
      <c r="Q193" s="232">
        <f t="shared" si="16"/>
        <v>0</v>
      </c>
      <c r="R193" s="232">
        <f t="shared" si="17"/>
        <v>-30</v>
      </c>
      <c r="S193" s="230">
        <v>29</v>
      </c>
      <c r="T193" s="234">
        <f t="shared" si="18"/>
        <v>0</v>
      </c>
      <c r="U193" s="234">
        <f t="shared" si="19"/>
        <v>-50529.6</v>
      </c>
      <c r="V193" s="233">
        <f t="shared" si="20"/>
        <v>129</v>
      </c>
    </row>
    <row r="194" spans="1:22" s="230" customFormat="1" ht="15">
      <c r="A194" s="225" t="s">
        <v>488</v>
      </c>
      <c r="B194" s="226">
        <v>42719</v>
      </c>
      <c r="C194" s="225" t="s">
        <v>489</v>
      </c>
      <c r="D194" s="227">
        <v>106.6</v>
      </c>
      <c r="K194" s="146">
        <v>42720</v>
      </c>
      <c r="L194" s="231"/>
      <c r="M194" s="146">
        <v>42720</v>
      </c>
      <c r="N194" s="146">
        <v>42720</v>
      </c>
      <c r="O194" s="232">
        <f t="shared" si="14"/>
        <v>0</v>
      </c>
      <c r="P194" s="232">
        <f t="shared" si="15"/>
        <v>0</v>
      </c>
      <c r="Q194" s="232">
        <f t="shared" si="16"/>
        <v>0</v>
      </c>
      <c r="R194" s="232">
        <f t="shared" si="17"/>
        <v>-30</v>
      </c>
      <c r="S194" s="230">
        <v>29</v>
      </c>
      <c r="T194" s="234">
        <f t="shared" si="18"/>
        <v>0</v>
      </c>
      <c r="U194" s="234">
        <f t="shared" si="19"/>
        <v>-3198</v>
      </c>
      <c r="V194" s="233">
        <f t="shared" si="20"/>
        <v>129</v>
      </c>
    </row>
    <row r="195" spans="1:22" s="230" customFormat="1" ht="15">
      <c r="A195" s="225" t="s">
        <v>490</v>
      </c>
      <c r="B195" s="226">
        <v>42719</v>
      </c>
      <c r="C195" s="225" t="s">
        <v>491</v>
      </c>
      <c r="D195" s="227">
        <v>575.71</v>
      </c>
      <c r="K195" s="146">
        <v>42723</v>
      </c>
      <c r="L195" s="231"/>
      <c r="M195" s="146">
        <v>42723</v>
      </c>
      <c r="N195" s="146">
        <v>42723</v>
      </c>
      <c r="O195" s="232">
        <f t="shared" si="14"/>
        <v>0</v>
      </c>
      <c r="P195" s="232">
        <f t="shared" si="15"/>
        <v>0</v>
      </c>
      <c r="Q195" s="232">
        <f t="shared" si="16"/>
        <v>0</v>
      </c>
      <c r="R195" s="232">
        <f t="shared" si="17"/>
        <v>-30</v>
      </c>
      <c r="S195" s="230">
        <v>29</v>
      </c>
      <c r="T195" s="234">
        <f t="shared" si="18"/>
        <v>0</v>
      </c>
      <c r="U195" s="234">
        <f t="shared" si="19"/>
        <v>-17271.300000000003</v>
      </c>
      <c r="V195" s="233">
        <f t="shared" si="20"/>
        <v>129</v>
      </c>
    </row>
    <row r="196" spans="1:22" s="230" customFormat="1" ht="15">
      <c r="A196" s="225" t="s">
        <v>492</v>
      </c>
      <c r="B196" s="226">
        <v>42720</v>
      </c>
      <c r="C196" s="225" t="s">
        <v>493</v>
      </c>
      <c r="D196" s="227">
        <v>391.64</v>
      </c>
      <c r="K196" s="146">
        <v>42724</v>
      </c>
      <c r="L196" s="231"/>
      <c r="M196" s="146">
        <v>42724</v>
      </c>
      <c r="N196" s="146">
        <v>42724</v>
      </c>
      <c r="O196" s="232">
        <f t="shared" si="14"/>
        <v>0</v>
      </c>
      <c r="P196" s="232">
        <f t="shared" si="15"/>
        <v>0</v>
      </c>
      <c r="Q196" s="232">
        <f t="shared" si="16"/>
        <v>0</v>
      </c>
      <c r="R196" s="232">
        <f t="shared" si="17"/>
        <v>-30</v>
      </c>
      <c r="S196" s="230">
        <v>29</v>
      </c>
      <c r="T196" s="234">
        <f t="shared" si="18"/>
        <v>0</v>
      </c>
      <c r="U196" s="234">
        <f t="shared" si="19"/>
        <v>-11749.199999999999</v>
      </c>
      <c r="V196" s="233">
        <f t="shared" si="20"/>
        <v>129</v>
      </c>
    </row>
    <row r="197" spans="1:22" s="230" customFormat="1" ht="15">
      <c r="A197" s="225" t="s">
        <v>494</v>
      </c>
      <c r="B197" s="226">
        <v>42720</v>
      </c>
      <c r="C197" s="225" t="s">
        <v>495</v>
      </c>
      <c r="D197" s="227">
        <v>600.61</v>
      </c>
      <c r="K197" s="146">
        <v>42724</v>
      </c>
      <c r="L197" s="231"/>
      <c r="M197" s="146">
        <v>42724</v>
      </c>
      <c r="N197" s="146">
        <v>42724</v>
      </c>
      <c r="O197" s="232">
        <f t="shared" si="14"/>
        <v>0</v>
      </c>
      <c r="P197" s="232">
        <f t="shared" si="15"/>
        <v>0</v>
      </c>
      <c r="Q197" s="232">
        <f t="shared" si="16"/>
        <v>0</v>
      </c>
      <c r="R197" s="232">
        <f t="shared" si="17"/>
        <v>-30</v>
      </c>
      <c r="S197" s="230">
        <v>29</v>
      </c>
      <c r="T197" s="234">
        <f t="shared" si="18"/>
        <v>0</v>
      </c>
      <c r="U197" s="234">
        <f t="shared" si="19"/>
        <v>-18018.3</v>
      </c>
      <c r="V197" s="233">
        <f t="shared" si="20"/>
        <v>129</v>
      </c>
    </row>
    <row r="198" spans="1:22" s="230" customFormat="1" ht="15">
      <c r="A198" s="225" t="s">
        <v>496</v>
      </c>
      <c r="B198" s="226">
        <v>42720</v>
      </c>
      <c r="C198" s="225" t="s">
        <v>497</v>
      </c>
      <c r="D198" s="227">
        <v>513.71</v>
      </c>
      <c r="K198" s="146">
        <v>42724</v>
      </c>
      <c r="L198" s="231"/>
      <c r="M198" s="146">
        <v>42724</v>
      </c>
      <c r="N198" s="146">
        <v>42724</v>
      </c>
      <c r="O198" s="232">
        <f t="shared" si="14"/>
        <v>0</v>
      </c>
      <c r="P198" s="232">
        <f t="shared" si="15"/>
        <v>0</v>
      </c>
      <c r="Q198" s="232">
        <f t="shared" si="16"/>
        <v>0</v>
      </c>
      <c r="R198" s="232">
        <f t="shared" si="17"/>
        <v>-30</v>
      </c>
      <c r="S198" s="230">
        <v>29</v>
      </c>
      <c r="T198" s="234">
        <f t="shared" si="18"/>
        <v>0</v>
      </c>
      <c r="U198" s="234">
        <f t="shared" si="19"/>
        <v>-15411.300000000001</v>
      </c>
      <c r="V198" s="233">
        <f t="shared" si="20"/>
        <v>129</v>
      </c>
    </row>
    <row r="199" spans="1:22" s="230" customFormat="1" ht="15">
      <c r="A199" s="225" t="s">
        <v>498</v>
      </c>
      <c r="B199" s="226">
        <v>42735</v>
      </c>
      <c r="C199" s="225" t="s">
        <v>499</v>
      </c>
      <c r="D199" s="227">
        <v>1108.17</v>
      </c>
      <c r="K199" s="146">
        <v>42734</v>
      </c>
      <c r="L199" s="231"/>
      <c r="M199" s="146">
        <v>42734</v>
      </c>
      <c r="N199" s="146">
        <v>42734</v>
      </c>
      <c r="O199" s="232">
        <f aca="true" t="shared" si="21" ref="O199:O232">+M199-K199</f>
        <v>0</v>
      </c>
      <c r="P199" s="232">
        <f aca="true" t="shared" si="22" ref="P199:P232">+N199-M199</f>
        <v>0</v>
      </c>
      <c r="Q199" s="232">
        <f aca="true" t="shared" si="23" ref="Q199:Q232">+N199-K199</f>
        <v>0</v>
      </c>
      <c r="R199" s="232">
        <f aca="true" t="shared" si="24" ref="R199:R232">+Q199-30</f>
        <v>-30</v>
      </c>
      <c r="S199" s="230">
        <v>29</v>
      </c>
      <c r="T199" s="234">
        <f aca="true" t="shared" si="25" ref="T199:T232">+P199*D199</f>
        <v>0</v>
      </c>
      <c r="U199" s="234">
        <f aca="true" t="shared" si="26" ref="U199:U232">+R199*D199</f>
        <v>-33245.100000000006</v>
      </c>
      <c r="V199" s="233">
        <f aca="true" t="shared" si="27" ref="V199:V232">IF(P199&gt;30,200+S199,100+S199)</f>
        <v>129</v>
      </c>
    </row>
    <row r="200" spans="1:22" s="230" customFormat="1" ht="15">
      <c r="A200" s="225" t="s">
        <v>500</v>
      </c>
      <c r="B200" s="226">
        <v>42735</v>
      </c>
      <c r="C200" s="225" t="s">
        <v>501</v>
      </c>
      <c r="D200" s="227">
        <v>1668.35</v>
      </c>
      <c r="K200" s="146">
        <v>42734</v>
      </c>
      <c r="L200" s="231"/>
      <c r="M200" s="146">
        <v>42734</v>
      </c>
      <c r="N200" s="146">
        <v>42734</v>
      </c>
      <c r="O200" s="232">
        <f t="shared" si="21"/>
        <v>0</v>
      </c>
      <c r="P200" s="232">
        <f t="shared" si="22"/>
        <v>0</v>
      </c>
      <c r="Q200" s="232">
        <f t="shared" si="23"/>
        <v>0</v>
      </c>
      <c r="R200" s="232">
        <f t="shared" si="24"/>
        <v>-30</v>
      </c>
      <c r="S200" s="230">
        <v>29</v>
      </c>
      <c r="T200" s="234">
        <f t="shared" si="25"/>
        <v>0</v>
      </c>
      <c r="U200" s="234">
        <f t="shared" si="26"/>
        <v>-50050.5</v>
      </c>
      <c r="V200" s="233">
        <f t="shared" si="27"/>
        <v>129</v>
      </c>
    </row>
    <row r="201" spans="1:22" s="230" customFormat="1" ht="15">
      <c r="A201" s="225" t="s">
        <v>502</v>
      </c>
      <c r="B201" s="226">
        <v>42735</v>
      </c>
      <c r="C201" s="225" t="s">
        <v>503</v>
      </c>
      <c r="D201" s="227">
        <v>119.19</v>
      </c>
      <c r="K201" s="146">
        <v>42734</v>
      </c>
      <c r="L201" s="231"/>
      <c r="M201" s="146">
        <v>42734</v>
      </c>
      <c r="N201" s="146">
        <v>42734</v>
      </c>
      <c r="O201" s="232">
        <f t="shared" si="21"/>
        <v>0</v>
      </c>
      <c r="P201" s="232">
        <f t="shared" si="22"/>
        <v>0</v>
      </c>
      <c r="Q201" s="232">
        <f t="shared" si="23"/>
        <v>0</v>
      </c>
      <c r="R201" s="232">
        <f t="shared" si="24"/>
        <v>-30</v>
      </c>
      <c r="S201" s="230">
        <v>29</v>
      </c>
      <c r="T201" s="234">
        <f t="shared" si="25"/>
        <v>0</v>
      </c>
      <c r="U201" s="234">
        <f t="shared" si="26"/>
        <v>-3575.7</v>
      </c>
      <c r="V201" s="233">
        <f t="shared" si="27"/>
        <v>129</v>
      </c>
    </row>
    <row r="202" spans="1:22" s="230" customFormat="1" ht="15">
      <c r="A202" s="225" t="s">
        <v>504</v>
      </c>
      <c r="B202" s="226">
        <v>42704</v>
      </c>
      <c r="C202" s="225" t="s">
        <v>505</v>
      </c>
      <c r="D202" s="227">
        <v>1258.79</v>
      </c>
      <c r="K202" s="146">
        <v>42735</v>
      </c>
      <c r="L202" s="231"/>
      <c r="M202" s="146">
        <v>42735</v>
      </c>
      <c r="N202" s="146">
        <v>42735</v>
      </c>
      <c r="O202" s="232">
        <f t="shared" si="21"/>
        <v>0</v>
      </c>
      <c r="P202" s="232">
        <f t="shared" si="22"/>
        <v>0</v>
      </c>
      <c r="Q202" s="232">
        <f t="shared" si="23"/>
        <v>0</v>
      </c>
      <c r="R202" s="232">
        <f t="shared" si="24"/>
        <v>-30</v>
      </c>
      <c r="S202" s="230">
        <v>29</v>
      </c>
      <c r="T202" s="234">
        <f t="shared" si="25"/>
        <v>0</v>
      </c>
      <c r="U202" s="234">
        <f t="shared" si="26"/>
        <v>-37763.7</v>
      </c>
      <c r="V202" s="233">
        <f t="shared" si="27"/>
        <v>129</v>
      </c>
    </row>
    <row r="203" spans="1:22" s="230" customFormat="1" ht="15">
      <c r="A203" s="225" t="s">
        <v>506</v>
      </c>
      <c r="B203" s="226">
        <v>42691</v>
      </c>
      <c r="C203" s="225" t="s">
        <v>507</v>
      </c>
      <c r="D203" s="227">
        <v>186.16</v>
      </c>
      <c r="K203" s="146">
        <v>42695</v>
      </c>
      <c r="L203" s="231"/>
      <c r="M203" s="146">
        <v>42695</v>
      </c>
      <c r="N203" s="146">
        <v>42695</v>
      </c>
      <c r="O203" s="232">
        <f t="shared" si="21"/>
        <v>0</v>
      </c>
      <c r="P203" s="232">
        <f t="shared" si="22"/>
        <v>0</v>
      </c>
      <c r="Q203" s="232">
        <f t="shared" si="23"/>
        <v>0</v>
      </c>
      <c r="R203" s="232">
        <f t="shared" si="24"/>
        <v>-30</v>
      </c>
      <c r="S203" s="230">
        <v>21</v>
      </c>
      <c r="T203" s="234">
        <f t="shared" si="25"/>
        <v>0</v>
      </c>
      <c r="U203" s="234">
        <f t="shared" si="26"/>
        <v>-5584.8</v>
      </c>
      <c r="V203" s="233">
        <f t="shared" si="27"/>
        <v>121</v>
      </c>
    </row>
    <row r="204" spans="1:22" s="230" customFormat="1" ht="15">
      <c r="A204" s="225" t="s">
        <v>508</v>
      </c>
      <c r="B204" s="226">
        <v>42675</v>
      </c>
      <c r="C204" s="225" t="s">
        <v>509</v>
      </c>
      <c r="D204" s="227">
        <v>260.83</v>
      </c>
      <c r="K204" s="146">
        <v>42676</v>
      </c>
      <c r="L204" s="231"/>
      <c r="M204" s="146">
        <v>42676</v>
      </c>
      <c r="N204" s="146">
        <v>42676</v>
      </c>
      <c r="O204" s="232">
        <f t="shared" si="21"/>
        <v>0</v>
      </c>
      <c r="P204" s="232">
        <f t="shared" si="22"/>
        <v>0</v>
      </c>
      <c r="Q204" s="232">
        <f t="shared" si="23"/>
        <v>0</v>
      </c>
      <c r="R204" s="232">
        <f t="shared" si="24"/>
        <v>-30</v>
      </c>
      <c r="S204" s="230">
        <v>29</v>
      </c>
      <c r="T204" s="234">
        <f t="shared" si="25"/>
        <v>0</v>
      </c>
      <c r="U204" s="234">
        <f t="shared" si="26"/>
        <v>-7824.9</v>
      </c>
      <c r="V204" s="233">
        <f t="shared" si="27"/>
        <v>129</v>
      </c>
    </row>
    <row r="205" spans="1:22" s="230" customFormat="1" ht="15">
      <c r="A205" s="225" t="s">
        <v>510</v>
      </c>
      <c r="B205" s="226">
        <v>42705</v>
      </c>
      <c r="C205" s="225" t="s">
        <v>511</v>
      </c>
      <c r="D205" s="227">
        <v>142.68</v>
      </c>
      <c r="K205" s="146">
        <v>42705</v>
      </c>
      <c r="L205" s="231"/>
      <c r="M205" s="146">
        <v>42705</v>
      </c>
      <c r="N205" s="146">
        <v>42705</v>
      </c>
      <c r="O205" s="232">
        <f t="shared" si="21"/>
        <v>0</v>
      </c>
      <c r="P205" s="232">
        <f t="shared" si="22"/>
        <v>0</v>
      </c>
      <c r="Q205" s="232">
        <f t="shared" si="23"/>
        <v>0</v>
      </c>
      <c r="R205" s="232">
        <f t="shared" si="24"/>
        <v>-30</v>
      </c>
      <c r="S205" s="230">
        <v>29</v>
      </c>
      <c r="T205" s="234">
        <f t="shared" si="25"/>
        <v>0</v>
      </c>
      <c r="U205" s="234">
        <f t="shared" si="26"/>
        <v>-4280.400000000001</v>
      </c>
      <c r="V205" s="233">
        <f t="shared" si="27"/>
        <v>129</v>
      </c>
    </row>
    <row r="206" spans="1:22" s="230" customFormat="1" ht="15">
      <c r="A206" s="225" t="s">
        <v>512</v>
      </c>
      <c r="B206" s="226">
        <v>42693</v>
      </c>
      <c r="C206" s="225" t="s">
        <v>513</v>
      </c>
      <c r="D206" s="227">
        <v>74.48</v>
      </c>
      <c r="K206" s="146">
        <v>42695</v>
      </c>
      <c r="L206" s="231"/>
      <c r="M206" s="146">
        <v>42695</v>
      </c>
      <c r="N206" s="146">
        <v>42695</v>
      </c>
      <c r="O206" s="232">
        <f t="shared" si="21"/>
        <v>0</v>
      </c>
      <c r="P206" s="232">
        <f t="shared" si="22"/>
        <v>0</v>
      </c>
      <c r="Q206" s="232">
        <f t="shared" si="23"/>
        <v>0</v>
      </c>
      <c r="R206" s="232">
        <f t="shared" si="24"/>
        <v>-30</v>
      </c>
      <c r="S206" s="230">
        <v>29</v>
      </c>
      <c r="T206" s="234">
        <f t="shared" si="25"/>
        <v>0</v>
      </c>
      <c r="U206" s="234">
        <f t="shared" si="26"/>
        <v>-2234.4</v>
      </c>
      <c r="V206" s="233">
        <f t="shared" si="27"/>
        <v>129</v>
      </c>
    </row>
    <row r="207" spans="1:22" s="230" customFormat="1" ht="15">
      <c r="A207" s="225" t="s">
        <v>514</v>
      </c>
      <c r="B207" s="226">
        <v>42723</v>
      </c>
      <c r="C207" s="225" t="s">
        <v>515</v>
      </c>
      <c r="D207" s="227">
        <v>74.85</v>
      </c>
      <c r="K207" s="146">
        <v>42723</v>
      </c>
      <c r="L207" s="231"/>
      <c r="M207" s="146">
        <v>42723</v>
      </c>
      <c r="N207" s="146">
        <v>42723</v>
      </c>
      <c r="O207" s="232">
        <f t="shared" si="21"/>
        <v>0</v>
      </c>
      <c r="P207" s="232">
        <f t="shared" si="22"/>
        <v>0</v>
      </c>
      <c r="Q207" s="232">
        <f t="shared" si="23"/>
        <v>0</v>
      </c>
      <c r="R207" s="232">
        <f t="shared" si="24"/>
        <v>-30</v>
      </c>
      <c r="S207" s="230">
        <v>29</v>
      </c>
      <c r="T207" s="234">
        <f t="shared" si="25"/>
        <v>0</v>
      </c>
      <c r="U207" s="234">
        <f t="shared" si="26"/>
        <v>-2245.5</v>
      </c>
      <c r="V207" s="233">
        <f t="shared" si="27"/>
        <v>129</v>
      </c>
    </row>
    <row r="208" spans="1:22" s="230" customFormat="1" ht="15">
      <c r="A208" s="225" t="s">
        <v>516</v>
      </c>
      <c r="B208" s="226">
        <v>42707</v>
      </c>
      <c r="C208" s="225" t="s">
        <v>517</v>
      </c>
      <c r="D208" s="227">
        <v>75.07</v>
      </c>
      <c r="K208" s="146">
        <v>42713</v>
      </c>
      <c r="L208" s="231"/>
      <c r="M208" s="146">
        <v>42713</v>
      </c>
      <c r="N208" s="146">
        <v>42713</v>
      </c>
      <c r="O208" s="232">
        <f t="shared" si="21"/>
        <v>0</v>
      </c>
      <c r="P208" s="232">
        <f t="shared" si="22"/>
        <v>0</v>
      </c>
      <c r="Q208" s="232">
        <f t="shared" si="23"/>
        <v>0</v>
      </c>
      <c r="R208" s="232">
        <f t="shared" si="24"/>
        <v>-30</v>
      </c>
      <c r="S208" s="230">
        <v>29</v>
      </c>
      <c r="T208" s="234">
        <f t="shared" si="25"/>
        <v>0</v>
      </c>
      <c r="U208" s="234">
        <f t="shared" si="26"/>
        <v>-2252.1</v>
      </c>
      <c r="V208" s="233">
        <f t="shared" si="27"/>
        <v>129</v>
      </c>
    </row>
    <row r="209" spans="1:22" s="230" customFormat="1" ht="15">
      <c r="A209" s="225" t="s">
        <v>518</v>
      </c>
      <c r="B209" s="226">
        <v>42707</v>
      </c>
      <c r="C209" s="225" t="s">
        <v>519</v>
      </c>
      <c r="D209" s="227">
        <v>72.65</v>
      </c>
      <c r="K209" s="146">
        <v>42713</v>
      </c>
      <c r="L209" s="231"/>
      <c r="M209" s="146">
        <v>42713</v>
      </c>
      <c r="N209" s="146">
        <v>42713</v>
      </c>
      <c r="O209" s="232">
        <f t="shared" si="21"/>
        <v>0</v>
      </c>
      <c r="P209" s="232">
        <f t="shared" si="22"/>
        <v>0</v>
      </c>
      <c r="Q209" s="232">
        <f t="shared" si="23"/>
        <v>0</v>
      </c>
      <c r="R209" s="232">
        <f t="shared" si="24"/>
        <v>-30</v>
      </c>
      <c r="S209" s="230">
        <v>29</v>
      </c>
      <c r="T209" s="234">
        <f t="shared" si="25"/>
        <v>0</v>
      </c>
      <c r="U209" s="234">
        <f t="shared" si="26"/>
        <v>-2179.5</v>
      </c>
      <c r="V209" s="233">
        <f t="shared" si="27"/>
        <v>129</v>
      </c>
    </row>
    <row r="210" spans="1:22" s="230" customFormat="1" ht="15">
      <c r="A210" s="225" t="s">
        <v>520</v>
      </c>
      <c r="B210" s="226">
        <v>42707</v>
      </c>
      <c r="C210" s="225" t="s">
        <v>521</v>
      </c>
      <c r="D210" s="227">
        <v>1114.91</v>
      </c>
      <c r="K210" s="146">
        <v>42713</v>
      </c>
      <c r="L210" s="231"/>
      <c r="M210" s="146">
        <v>42713</v>
      </c>
      <c r="N210" s="146">
        <v>42713</v>
      </c>
      <c r="O210" s="232">
        <f t="shared" si="21"/>
        <v>0</v>
      </c>
      <c r="P210" s="232">
        <f t="shared" si="22"/>
        <v>0</v>
      </c>
      <c r="Q210" s="232">
        <f t="shared" si="23"/>
        <v>0</v>
      </c>
      <c r="R210" s="232">
        <f t="shared" si="24"/>
        <v>-30</v>
      </c>
      <c r="S210" s="230">
        <v>29</v>
      </c>
      <c r="T210" s="234">
        <f t="shared" si="25"/>
        <v>0</v>
      </c>
      <c r="U210" s="234">
        <f t="shared" si="26"/>
        <v>-33447.3</v>
      </c>
      <c r="V210" s="233">
        <f t="shared" si="27"/>
        <v>129</v>
      </c>
    </row>
    <row r="211" spans="1:22" s="230" customFormat="1" ht="15">
      <c r="A211" s="225" t="s">
        <v>522</v>
      </c>
      <c r="B211" s="226">
        <v>42707</v>
      </c>
      <c r="C211" s="225" t="s">
        <v>523</v>
      </c>
      <c r="D211" s="227">
        <v>576.05</v>
      </c>
      <c r="K211" s="146">
        <v>42713</v>
      </c>
      <c r="L211" s="231"/>
      <c r="M211" s="146">
        <v>42713</v>
      </c>
      <c r="N211" s="146">
        <v>42713</v>
      </c>
      <c r="O211" s="232">
        <f t="shared" si="21"/>
        <v>0</v>
      </c>
      <c r="P211" s="232">
        <f t="shared" si="22"/>
        <v>0</v>
      </c>
      <c r="Q211" s="232">
        <f t="shared" si="23"/>
        <v>0</v>
      </c>
      <c r="R211" s="232">
        <f t="shared" si="24"/>
        <v>-30</v>
      </c>
      <c r="S211" s="230">
        <v>29</v>
      </c>
      <c r="T211" s="234">
        <f t="shared" si="25"/>
        <v>0</v>
      </c>
      <c r="U211" s="234">
        <f t="shared" si="26"/>
        <v>-17281.5</v>
      </c>
      <c r="V211" s="233">
        <f t="shared" si="27"/>
        <v>129</v>
      </c>
    </row>
    <row r="212" spans="1:22" s="230" customFormat="1" ht="15">
      <c r="A212" s="225" t="s">
        <v>524</v>
      </c>
      <c r="B212" s="226">
        <v>42707</v>
      </c>
      <c r="C212" s="225" t="s">
        <v>525</v>
      </c>
      <c r="D212" s="227">
        <v>300.62</v>
      </c>
      <c r="K212" s="146">
        <v>42713</v>
      </c>
      <c r="L212" s="231"/>
      <c r="M212" s="146">
        <v>42713</v>
      </c>
      <c r="N212" s="146">
        <v>42713</v>
      </c>
      <c r="O212" s="232">
        <f t="shared" si="21"/>
        <v>0</v>
      </c>
      <c r="P212" s="232">
        <f t="shared" si="22"/>
        <v>0</v>
      </c>
      <c r="Q212" s="232">
        <f t="shared" si="23"/>
        <v>0</v>
      </c>
      <c r="R212" s="232">
        <f t="shared" si="24"/>
        <v>-30</v>
      </c>
      <c r="S212" s="230">
        <v>29</v>
      </c>
      <c r="T212" s="234">
        <f t="shared" si="25"/>
        <v>0</v>
      </c>
      <c r="U212" s="234">
        <f t="shared" si="26"/>
        <v>-9018.6</v>
      </c>
      <c r="V212" s="233">
        <f t="shared" si="27"/>
        <v>129</v>
      </c>
    </row>
    <row r="213" spans="1:22" s="230" customFormat="1" ht="15">
      <c r="A213" s="225" t="s">
        <v>526</v>
      </c>
      <c r="B213" s="226">
        <v>42727</v>
      </c>
      <c r="C213" s="225" t="s">
        <v>527</v>
      </c>
      <c r="D213" s="227">
        <v>741.65</v>
      </c>
      <c r="K213" s="146">
        <v>42733</v>
      </c>
      <c r="L213" s="231"/>
      <c r="M213" s="146">
        <v>42733</v>
      </c>
      <c r="N213" s="146">
        <v>42733</v>
      </c>
      <c r="O213" s="232">
        <f t="shared" si="21"/>
        <v>0</v>
      </c>
      <c r="P213" s="232">
        <f t="shared" si="22"/>
        <v>0</v>
      </c>
      <c r="Q213" s="232">
        <f t="shared" si="23"/>
        <v>0</v>
      </c>
      <c r="R213" s="232">
        <f t="shared" si="24"/>
        <v>-30</v>
      </c>
      <c r="S213" s="230">
        <v>29</v>
      </c>
      <c r="T213" s="234">
        <f t="shared" si="25"/>
        <v>0</v>
      </c>
      <c r="U213" s="234">
        <f t="shared" si="26"/>
        <v>-22249.5</v>
      </c>
      <c r="V213" s="233">
        <f t="shared" si="27"/>
        <v>129</v>
      </c>
    </row>
    <row r="214" spans="1:22" s="230" customFormat="1" ht="15">
      <c r="A214" s="225" t="s">
        <v>528</v>
      </c>
      <c r="B214" s="226">
        <v>42727</v>
      </c>
      <c r="C214" s="225" t="s">
        <v>529</v>
      </c>
      <c r="D214" s="227">
        <v>53.28</v>
      </c>
      <c r="K214" s="146">
        <v>42733</v>
      </c>
      <c r="L214" s="231"/>
      <c r="M214" s="146">
        <v>42733</v>
      </c>
      <c r="N214" s="146">
        <v>42733</v>
      </c>
      <c r="O214" s="232">
        <f t="shared" si="21"/>
        <v>0</v>
      </c>
      <c r="P214" s="232">
        <f t="shared" si="22"/>
        <v>0</v>
      </c>
      <c r="Q214" s="232">
        <f t="shared" si="23"/>
        <v>0</v>
      </c>
      <c r="R214" s="232">
        <f t="shared" si="24"/>
        <v>-30</v>
      </c>
      <c r="S214" s="230">
        <v>29</v>
      </c>
      <c r="T214" s="234">
        <f t="shared" si="25"/>
        <v>0</v>
      </c>
      <c r="U214" s="234">
        <f t="shared" si="26"/>
        <v>-1598.4</v>
      </c>
      <c r="V214" s="233">
        <f t="shared" si="27"/>
        <v>129</v>
      </c>
    </row>
    <row r="215" spans="1:22" s="230" customFormat="1" ht="15">
      <c r="A215" s="225" t="s">
        <v>530</v>
      </c>
      <c r="B215" s="226">
        <v>42727</v>
      </c>
      <c r="C215" s="225" t="s">
        <v>531</v>
      </c>
      <c r="D215" s="227">
        <v>51.56</v>
      </c>
      <c r="K215" s="146">
        <v>42733</v>
      </c>
      <c r="L215" s="231"/>
      <c r="M215" s="146">
        <v>42733</v>
      </c>
      <c r="N215" s="146">
        <v>42733</v>
      </c>
      <c r="O215" s="232">
        <f t="shared" si="21"/>
        <v>0</v>
      </c>
      <c r="P215" s="232">
        <f t="shared" si="22"/>
        <v>0</v>
      </c>
      <c r="Q215" s="232">
        <f t="shared" si="23"/>
        <v>0</v>
      </c>
      <c r="R215" s="232">
        <f t="shared" si="24"/>
        <v>-30</v>
      </c>
      <c r="S215" s="230">
        <v>29</v>
      </c>
      <c r="T215" s="234">
        <f t="shared" si="25"/>
        <v>0</v>
      </c>
      <c r="U215" s="234">
        <f t="shared" si="26"/>
        <v>-1546.8000000000002</v>
      </c>
      <c r="V215" s="233">
        <f t="shared" si="27"/>
        <v>129</v>
      </c>
    </row>
    <row r="216" spans="1:22" s="230" customFormat="1" ht="15">
      <c r="A216" s="225" t="s">
        <v>532</v>
      </c>
      <c r="B216" s="226">
        <v>42727</v>
      </c>
      <c r="C216" s="225" t="s">
        <v>533</v>
      </c>
      <c r="D216" s="227">
        <v>352.36</v>
      </c>
      <c r="K216" s="146">
        <v>42733</v>
      </c>
      <c r="L216" s="231"/>
      <c r="M216" s="146">
        <v>42733</v>
      </c>
      <c r="N216" s="146">
        <v>42733</v>
      </c>
      <c r="O216" s="232">
        <f t="shared" si="21"/>
        <v>0</v>
      </c>
      <c r="P216" s="232">
        <f t="shared" si="22"/>
        <v>0</v>
      </c>
      <c r="Q216" s="232">
        <f t="shared" si="23"/>
        <v>0</v>
      </c>
      <c r="R216" s="232">
        <f t="shared" si="24"/>
        <v>-30</v>
      </c>
      <c r="S216" s="230">
        <v>29</v>
      </c>
      <c r="T216" s="234">
        <f t="shared" si="25"/>
        <v>0</v>
      </c>
      <c r="U216" s="234">
        <f t="shared" si="26"/>
        <v>-10570.800000000001</v>
      </c>
      <c r="V216" s="233">
        <f t="shared" si="27"/>
        <v>129</v>
      </c>
    </row>
    <row r="217" spans="1:22" s="230" customFormat="1" ht="15">
      <c r="A217" s="225" t="s">
        <v>534</v>
      </c>
      <c r="B217" s="226">
        <v>42675</v>
      </c>
      <c r="C217" s="225" t="s">
        <v>535</v>
      </c>
      <c r="D217" s="227">
        <v>217.8</v>
      </c>
      <c r="K217" s="146">
        <v>42681</v>
      </c>
      <c r="L217" s="231"/>
      <c r="M217" s="146">
        <v>42681</v>
      </c>
      <c r="N217" s="146">
        <v>42681</v>
      </c>
      <c r="O217" s="232">
        <f t="shared" si="21"/>
        <v>0</v>
      </c>
      <c r="P217" s="232">
        <f t="shared" si="22"/>
        <v>0</v>
      </c>
      <c r="Q217" s="232">
        <f t="shared" si="23"/>
        <v>0</v>
      </c>
      <c r="R217" s="232">
        <f t="shared" si="24"/>
        <v>-30</v>
      </c>
      <c r="S217" s="230">
        <v>20</v>
      </c>
      <c r="T217" s="234">
        <f t="shared" si="25"/>
        <v>0</v>
      </c>
      <c r="U217" s="234">
        <f t="shared" si="26"/>
        <v>-6534</v>
      </c>
      <c r="V217" s="233">
        <f t="shared" si="27"/>
        <v>120</v>
      </c>
    </row>
    <row r="218" spans="1:22" s="230" customFormat="1" ht="15">
      <c r="A218" s="225" t="s">
        <v>536</v>
      </c>
      <c r="B218" s="226">
        <v>42705</v>
      </c>
      <c r="C218" s="225" t="s">
        <v>537</v>
      </c>
      <c r="D218" s="227">
        <v>217.8</v>
      </c>
      <c r="K218" s="146">
        <v>42709</v>
      </c>
      <c r="L218" s="231"/>
      <c r="M218" s="146">
        <v>42709</v>
      </c>
      <c r="N218" s="146">
        <v>42709</v>
      </c>
      <c r="O218" s="232">
        <f t="shared" si="21"/>
        <v>0</v>
      </c>
      <c r="P218" s="232">
        <f t="shared" si="22"/>
        <v>0</v>
      </c>
      <c r="Q218" s="232">
        <f t="shared" si="23"/>
        <v>0</v>
      </c>
      <c r="R218" s="232">
        <f t="shared" si="24"/>
        <v>-30</v>
      </c>
      <c r="S218" s="230">
        <v>20</v>
      </c>
      <c r="T218" s="234">
        <f t="shared" si="25"/>
        <v>0</v>
      </c>
      <c r="U218" s="234">
        <f t="shared" si="26"/>
        <v>-6534</v>
      </c>
      <c r="V218" s="233">
        <f t="shared" si="27"/>
        <v>120</v>
      </c>
    </row>
    <row r="219" spans="1:22" s="230" customFormat="1" ht="15">
      <c r="A219" s="225" t="s">
        <v>538</v>
      </c>
      <c r="B219" s="226">
        <v>42727</v>
      </c>
      <c r="C219" s="225" t="s">
        <v>539</v>
      </c>
      <c r="D219" s="227">
        <v>213.35</v>
      </c>
      <c r="K219" s="146">
        <v>42733</v>
      </c>
      <c r="L219" s="231"/>
      <c r="M219" s="146">
        <v>42733</v>
      </c>
      <c r="N219" s="146">
        <v>42733</v>
      </c>
      <c r="O219" s="232">
        <f t="shared" si="21"/>
        <v>0</v>
      </c>
      <c r="P219" s="232">
        <f t="shared" si="22"/>
        <v>0</v>
      </c>
      <c r="Q219" s="232">
        <f t="shared" si="23"/>
        <v>0</v>
      </c>
      <c r="R219" s="232">
        <f t="shared" si="24"/>
        <v>-30</v>
      </c>
      <c r="S219" s="230">
        <v>29</v>
      </c>
      <c r="T219" s="234">
        <f t="shared" si="25"/>
        <v>0</v>
      </c>
      <c r="U219" s="234">
        <f t="shared" si="26"/>
        <v>-6400.5</v>
      </c>
      <c r="V219" s="233">
        <f t="shared" si="27"/>
        <v>129</v>
      </c>
    </row>
    <row r="220" spans="1:22" s="230" customFormat="1" ht="15">
      <c r="A220" s="225" t="s">
        <v>540</v>
      </c>
      <c r="B220" s="226">
        <v>42689</v>
      </c>
      <c r="C220" s="225" t="s">
        <v>541</v>
      </c>
      <c r="D220" s="227">
        <v>317.33</v>
      </c>
      <c r="K220" s="146">
        <v>42691</v>
      </c>
      <c r="L220" s="231"/>
      <c r="M220" s="146">
        <v>42691</v>
      </c>
      <c r="N220" s="146">
        <v>42691</v>
      </c>
      <c r="O220" s="232">
        <f t="shared" si="21"/>
        <v>0</v>
      </c>
      <c r="P220" s="232">
        <f t="shared" si="22"/>
        <v>0</v>
      </c>
      <c r="Q220" s="232">
        <f t="shared" si="23"/>
        <v>0</v>
      </c>
      <c r="R220" s="232">
        <f t="shared" si="24"/>
        <v>-30</v>
      </c>
      <c r="S220" s="230">
        <v>29</v>
      </c>
      <c r="T220" s="234">
        <f t="shared" si="25"/>
        <v>0</v>
      </c>
      <c r="U220" s="234">
        <f t="shared" si="26"/>
        <v>-9519.9</v>
      </c>
      <c r="V220" s="233">
        <f t="shared" si="27"/>
        <v>129</v>
      </c>
    </row>
    <row r="221" spans="1:22" s="230" customFormat="1" ht="15">
      <c r="A221" s="225" t="s">
        <v>542</v>
      </c>
      <c r="B221" s="226">
        <v>42689</v>
      </c>
      <c r="C221" s="225" t="s">
        <v>543</v>
      </c>
      <c r="D221" s="227">
        <v>42.01</v>
      </c>
      <c r="K221" s="146">
        <v>42697</v>
      </c>
      <c r="L221" s="231"/>
      <c r="M221" s="146">
        <v>42697</v>
      </c>
      <c r="N221" s="146">
        <v>42697</v>
      </c>
      <c r="O221" s="232">
        <f t="shared" si="21"/>
        <v>0</v>
      </c>
      <c r="P221" s="232">
        <f t="shared" si="22"/>
        <v>0</v>
      </c>
      <c r="Q221" s="232">
        <f t="shared" si="23"/>
        <v>0</v>
      </c>
      <c r="R221" s="232">
        <f t="shared" si="24"/>
        <v>-30</v>
      </c>
      <c r="S221" s="230">
        <v>29</v>
      </c>
      <c r="T221" s="234">
        <f t="shared" si="25"/>
        <v>0</v>
      </c>
      <c r="U221" s="234">
        <f t="shared" si="26"/>
        <v>-1260.3</v>
      </c>
      <c r="V221" s="233">
        <f t="shared" si="27"/>
        <v>129</v>
      </c>
    </row>
    <row r="222" spans="1:22" s="230" customFormat="1" ht="15">
      <c r="A222" s="225" t="s">
        <v>544</v>
      </c>
      <c r="B222" s="226">
        <v>42689</v>
      </c>
      <c r="C222" s="225" t="s">
        <v>545</v>
      </c>
      <c r="D222" s="227">
        <v>18.43</v>
      </c>
      <c r="K222" s="146">
        <v>42697</v>
      </c>
      <c r="L222" s="231"/>
      <c r="M222" s="146">
        <v>42697</v>
      </c>
      <c r="N222" s="146">
        <v>42697</v>
      </c>
      <c r="O222" s="232">
        <f t="shared" si="21"/>
        <v>0</v>
      </c>
      <c r="P222" s="232">
        <f t="shared" si="22"/>
        <v>0</v>
      </c>
      <c r="Q222" s="232">
        <f t="shared" si="23"/>
        <v>0</v>
      </c>
      <c r="R222" s="232">
        <f t="shared" si="24"/>
        <v>-30</v>
      </c>
      <c r="S222" s="230">
        <v>29</v>
      </c>
      <c r="T222" s="234">
        <f t="shared" si="25"/>
        <v>0</v>
      </c>
      <c r="U222" s="234">
        <f t="shared" si="26"/>
        <v>-552.9</v>
      </c>
      <c r="V222" s="233">
        <f t="shared" si="27"/>
        <v>129</v>
      </c>
    </row>
    <row r="223" spans="1:22" s="230" customFormat="1" ht="15">
      <c r="A223" s="225" t="s">
        <v>546</v>
      </c>
      <c r="B223" s="226">
        <v>42689</v>
      </c>
      <c r="C223" s="225" t="s">
        <v>547</v>
      </c>
      <c r="D223" s="227">
        <v>360.75</v>
      </c>
      <c r="K223" s="146">
        <v>42691</v>
      </c>
      <c r="L223" s="231"/>
      <c r="M223" s="146">
        <v>42691</v>
      </c>
      <c r="N223" s="146">
        <v>42691</v>
      </c>
      <c r="O223" s="232">
        <f t="shared" si="21"/>
        <v>0</v>
      </c>
      <c r="P223" s="232">
        <f t="shared" si="22"/>
        <v>0</v>
      </c>
      <c r="Q223" s="232">
        <f t="shared" si="23"/>
        <v>0</v>
      </c>
      <c r="R223" s="232">
        <f t="shared" si="24"/>
        <v>-30</v>
      </c>
      <c r="S223" s="230">
        <v>29</v>
      </c>
      <c r="T223" s="234">
        <f t="shared" si="25"/>
        <v>0</v>
      </c>
      <c r="U223" s="234">
        <f t="shared" si="26"/>
        <v>-10822.5</v>
      </c>
      <c r="V223" s="233">
        <f t="shared" si="27"/>
        <v>129</v>
      </c>
    </row>
    <row r="224" spans="1:22" s="230" customFormat="1" ht="15">
      <c r="A224" s="225" t="s">
        <v>548</v>
      </c>
      <c r="B224" s="226">
        <v>42689</v>
      </c>
      <c r="C224" s="225" t="s">
        <v>549</v>
      </c>
      <c r="D224" s="227">
        <v>39.89</v>
      </c>
      <c r="K224" s="146">
        <v>42697</v>
      </c>
      <c r="L224" s="231"/>
      <c r="M224" s="146">
        <v>42697</v>
      </c>
      <c r="N224" s="146">
        <v>42697</v>
      </c>
      <c r="O224" s="232">
        <f t="shared" si="21"/>
        <v>0</v>
      </c>
      <c r="P224" s="232">
        <f t="shared" si="22"/>
        <v>0</v>
      </c>
      <c r="Q224" s="232">
        <f t="shared" si="23"/>
        <v>0</v>
      </c>
      <c r="R224" s="232">
        <f t="shared" si="24"/>
        <v>-30</v>
      </c>
      <c r="S224" s="230">
        <v>29</v>
      </c>
      <c r="T224" s="234">
        <f t="shared" si="25"/>
        <v>0</v>
      </c>
      <c r="U224" s="234">
        <f t="shared" si="26"/>
        <v>-1196.7</v>
      </c>
      <c r="V224" s="233">
        <f t="shared" si="27"/>
        <v>129</v>
      </c>
    </row>
    <row r="225" spans="1:22" s="230" customFormat="1" ht="15">
      <c r="A225" s="225" t="s">
        <v>550</v>
      </c>
      <c r="B225" s="226">
        <v>42689</v>
      </c>
      <c r="C225" s="225" t="s">
        <v>551</v>
      </c>
      <c r="D225" s="227">
        <v>32.08</v>
      </c>
      <c r="K225" s="146">
        <v>42697</v>
      </c>
      <c r="L225" s="231"/>
      <c r="M225" s="146">
        <v>42697</v>
      </c>
      <c r="N225" s="146">
        <v>42697</v>
      </c>
      <c r="O225" s="232">
        <f t="shared" si="21"/>
        <v>0</v>
      </c>
      <c r="P225" s="232">
        <f t="shared" si="22"/>
        <v>0</v>
      </c>
      <c r="Q225" s="232">
        <f t="shared" si="23"/>
        <v>0</v>
      </c>
      <c r="R225" s="232">
        <f t="shared" si="24"/>
        <v>-30</v>
      </c>
      <c r="S225" s="230">
        <v>29</v>
      </c>
      <c r="T225" s="234">
        <f t="shared" si="25"/>
        <v>0</v>
      </c>
      <c r="U225" s="234">
        <f t="shared" si="26"/>
        <v>-962.4</v>
      </c>
      <c r="V225" s="233">
        <f t="shared" si="27"/>
        <v>129</v>
      </c>
    </row>
    <row r="226" spans="1:22" s="230" customFormat="1" ht="15">
      <c r="A226" s="225" t="s">
        <v>552</v>
      </c>
      <c r="B226" s="226">
        <v>42720</v>
      </c>
      <c r="C226" s="225" t="s">
        <v>553</v>
      </c>
      <c r="D226" s="227">
        <v>461.05</v>
      </c>
      <c r="K226" s="146">
        <v>42724</v>
      </c>
      <c r="L226" s="231"/>
      <c r="M226" s="146">
        <v>42724</v>
      </c>
      <c r="N226" s="146">
        <v>42724</v>
      </c>
      <c r="O226" s="232">
        <f t="shared" si="21"/>
        <v>0</v>
      </c>
      <c r="P226" s="232">
        <f t="shared" si="22"/>
        <v>0</v>
      </c>
      <c r="Q226" s="232">
        <f t="shared" si="23"/>
        <v>0</v>
      </c>
      <c r="R226" s="232">
        <f t="shared" si="24"/>
        <v>-30</v>
      </c>
      <c r="S226" s="230">
        <v>29</v>
      </c>
      <c r="T226" s="234">
        <f t="shared" si="25"/>
        <v>0</v>
      </c>
      <c r="U226" s="234">
        <f t="shared" si="26"/>
        <v>-13831.5</v>
      </c>
      <c r="V226" s="233">
        <f t="shared" si="27"/>
        <v>129</v>
      </c>
    </row>
    <row r="227" spans="1:22" s="230" customFormat="1" ht="15">
      <c r="A227" s="225" t="s">
        <v>554</v>
      </c>
      <c r="B227" s="226">
        <v>42719</v>
      </c>
      <c r="C227" s="225" t="s">
        <v>555</v>
      </c>
      <c r="D227" s="227">
        <v>21.07</v>
      </c>
      <c r="K227" s="146">
        <v>42727</v>
      </c>
      <c r="L227" s="231"/>
      <c r="M227" s="146">
        <v>42727</v>
      </c>
      <c r="N227" s="146">
        <v>42727</v>
      </c>
      <c r="O227" s="232">
        <f t="shared" si="21"/>
        <v>0</v>
      </c>
      <c r="P227" s="232">
        <f t="shared" si="22"/>
        <v>0</v>
      </c>
      <c r="Q227" s="232">
        <f t="shared" si="23"/>
        <v>0</v>
      </c>
      <c r="R227" s="232">
        <f t="shared" si="24"/>
        <v>-30</v>
      </c>
      <c r="S227" s="230">
        <v>29</v>
      </c>
      <c r="T227" s="234">
        <f t="shared" si="25"/>
        <v>0</v>
      </c>
      <c r="U227" s="234">
        <f t="shared" si="26"/>
        <v>-632.1</v>
      </c>
      <c r="V227" s="233">
        <f t="shared" si="27"/>
        <v>129</v>
      </c>
    </row>
    <row r="228" spans="1:22" s="230" customFormat="1" ht="15">
      <c r="A228" s="225" t="s">
        <v>556</v>
      </c>
      <c r="B228" s="226">
        <v>42719</v>
      </c>
      <c r="C228" s="225" t="s">
        <v>557</v>
      </c>
      <c r="D228" s="227">
        <v>29.35</v>
      </c>
      <c r="K228" s="146">
        <v>42727</v>
      </c>
      <c r="L228" s="231"/>
      <c r="M228" s="146">
        <v>42727</v>
      </c>
      <c r="N228" s="146">
        <v>42727</v>
      </c>
      <c r="O228" s="232">
        <f t="shared" si="21"/>
        <v>0</v>
      </c>
      <c r="P228" s="232">
        <f t="shared" si="22"/>
        <v>0</v>
      </c>
      <c r="Q228" s="232">
        <f t="shared" si="23"/>
        <v>0</v>
      </c>
      <c r="R228" s="232">
        <f t="shared" si="24"/>
        <v>-30</v>
      </c>
      <c r="S228" s="230">
        <v>29</v>
      </c>
      <c r="T228" s="234">
        <f t="shared" si="25"/>
        <v>0</v>
      </c>
      <c r="U228" s="234">
        <f t="shared" si="26"/>
        <v>-880.5</v>
      </c>
      <c r="V228" s="233">
        <f t="shared" si="27"/>
        <v>129</v>
      </c>
    </row>
    <row r="229" spans="1:22" s="230" customFormat="1" ht="15">
      <c r="A229" s="225" t="s">
        <v>558</v>
      </c>
      <c r="B229" s="226">
        <v>42719</v>
      </c>
      <c r="C229" s="225" t="s">
        <v>559</v>
      </c>
      <c r="D229" s="227">
        <v>31.87</v>
      </c>
      <c r="K229" s="146">
        <v>42727</v>
      </c>
      <c r="L229" s="231"/>
      <c r="M229" s="146">
        <v>42727</v>
      </c>
      <c r="N229" s="146">
        <v>42727</v>
      </c>
      <c r="O229" s="232">
        <f t="shared" si="21"/>
        <v>0</v>
      </c>
      <c r="P229" s="232">
        <f t="shared" si="22"/>
        <v>0</v>
      </c>
      <c r="Q229" s="232">
        <f t="shared" si="23"/>
        <v>0</v>
      </c>
      <c r="R229" s="232">
        <f t="shared" si="24"/>
        <v>-30</v>
      </c>
      <c r="S229" s="230">
        <v>29</v>
      </c>
      <c r="T229" s="234">
        <f t="shared" si="25"/>
        <v>0</v>
      </c>
      <c r="U229" s="234">
        <f t="shared" si="26"/>
        <v>-956.1</v>
      </c>
      <c r="V229" s="233">
        <f t="shared" si="27"/>
        <v>129</v>
      </c>
    </row>
    <row r="230" spans="1:22" s="230" customFormat="1" ht="15">
      <c r="A230" s="225" t="s">
        <v>560</v>
      </c>
      <c r="B230" s="226">
        <v>42720</v>
      </c>
      <c r="C230" s="225" t="s">
        <v>561</v>
      </c>
      <c r="D230" s="227">
        <v>449.96</v>
      </c>
      <c r="K230" s="146">
        <v>42724</v>
      </c>
      <c r="L230" s="231"/>
      <c r="M230" s="146">
        <v>42724</v>
      </c>
      <c r="N230" s="146">
        <v>42724</v>
      </c>
      <c r="O230" s="232">
        <f t="shared" si="21"/>
        <v>0</v>
      </c>
      <c r="P230" s="232">
        <f t="shared" si="22"/>
        <v>0</v>
      </c>
      <c r="Q230" s="232">
        <f t="shared" si="23"/>
        <v>0</v>
      </c>
      <c r="R230" s="232">
        <f t="shared" si="24"/>
        <v>-30</v>
      </c>
      <c r="S230" s="230">
        <v>29</v>
      </c>
      <c r="T230" s="234">
        <f t="shared" si="25"/>
        <v>0</v>
      </c>
      <c r="U230" s="234">
        <f t="shared" si="26"/>
        <v>-13498.8</v>
      </c>
      <c r="V230" s="233">
        <f t="shared" si="27"/>
        <v>129</v>
      </c>
    </row>
    <row r="231" spans="1:22" s="230" customFormat="1" ht="15">
      <c r="A231" s="225" t="s">
        <v>562</v>
      </c>
      <c r="B231" s="226">
        <v>42720</v>
      </c>
      <c r="C231" s="225" t="s">
        <v>563</v>
      </c>
      <c r="D231" s="227">
        <v>38.51</v>
      </c>
      <c r="K231" s="146">
        <v>42731</v>
      </c>
      <c r="L231" s="231"/>
      <c r="M231" s="146">
        <v>42731</v>
      </c>
      <c r="N231" s="146">
        <v>42731</v>
      </c>
      <c r="O231" s="232">
        <f t="shared" si="21"/>
        <v>0</v>
      </c>
      <c r="P231" s="232">
        <f t="shared" si="22"/>
        <v>0</v>
      </c>
      <c r="Q231" s="232">
        <f t="shared" si="23"/>
        <v>0</v>
      </c>
      <c r="R231" s="232">
        <f t="shared" si="24"/>
        <v>-30</v>
      </c>
      <c r="S231" s="230">
        <v>29</v>
      </c>
      <c r="T231" s="234">
        <f t="shared" si="25"/>
        <v>0</v>
      </c>
      <c r="U231" s="234">
        <f t="shared" si="26"/>
        <v>-1155.3</v>
      </c>
      <c r="V231" s="233">
        <f t="shared" si="27"/>
        <v>129</v>
      </c>
    </row>
    <row r="232" spans="1:22" s="230" customFormat="1" ht="15">
      <c r="A232" s="225" t="s">
        <v>564</v>
      </c>
      <c r="B232" s="226">
        <v>42706</v>
      </c>
      <c r="C232" s="225" t="s">
        <v>565</v>
      </c>
      <c r="D232" s="227">
        <v>136</v>
      </c>
      <c r="K232" s="146">
        <v>42734</v>
      </c>
      <c r="L232" s="231"/>
      <c r="M232" s="146">
        <v>42734</v>
      </c>
      <c r="N232" s="146">
        <v>42734</v>
      </c>
      <c r="O232" s="232">
        <f t="shared" si="21"/>
        <v>0</v>
      </c>
      <c r="P232" s="232">
        <f t="shared" si="22"/>
        <v>0</v>
      </c>
      <c r="Q232" s="232">
        <f t="shared" si="23"/>
        <v>0</v>
      </c>
      <c r="R232" s="232">
        <f t="shared" si="24"/>
        <v>-30</v>
      </c>
      <c r="S232" s="230">
        <v>29</v>
      </c>
      <c r="T232" s="234">
        <f t="shared" si="25"/>
        <v>0</v>
      </c>
      <c r="U232" s="234">
        <f t="shared" si="26"/>
        <v>-4080</v>
      </c>
      <c r="V232" s="233">
        <f t="shared" si="27"/>
        <v>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10.14062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6.57421875" style="2" bestFit="1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79</v>
      </c>
      <c r="H1" s="4"/>
      <c r="I1" s="4"/>
      <c r="J1" s="4"/>
      <c r="O1" s="96"/>
      <c r="P1" s="96" t="s">
        <v>89</v>
      </c>
      <c r="Q1" s="115">
        <v>42735</v>
      </c>
    </row>
    <row r="3" spans="1:22" ht="38.25" customHeight="1">
      <c r="A3" s="5" t="s">
        <v>81</v>
      </c>
      <c r="B3" s="17" t="s">
        <v>82</v>
      </c>
      <c r="C3" s="6" t="s">
        <v>70</v>
      </c>
      <c r="D3" s="116" t="s">
        <v>63</v>
      </c>
      <c r="E3" s="5" t="s">
        <v>83</v>
      </c>
      <c r="F3" s="118" t="s">
        <v>71</v>
      </c>
      <c r="G3" s="118" t="s">
        <v>72</v>
      </c>
      <c r="H3" s="6" t="s">
        <v>9</v>
      </c>
      <c r="I3" s="6" t="s">
        <v>10</v>
      </c>
      <c r="J3" s="118" t="s">
        <v>8</v>
      </c>
      <c r="K3" s="117" t="s">
        <v>84</v>
      </c>
      <c r="L3" s="15" t="s">
        <v>85</v>
      </c>
      <c r="M3" s="15" t="s">
        <v>73</v>
      </c>
      <c r="N3" s="15" t="s">
        <v>74</v>
      </c>
      <c r="O3" s="10" t="s">
        <v>86</v>
      </c>
      <c r="P3" s="11" t="s">
        <v>87</v>
      </c>
      <c r="Q3" s="12" t="s">
        <v>88</v>
      </c>
      <c r="R3" s="13" t="s">
        <v>65</v>
      </c>
      <c r="S3" s="2" t="s">
        <v>75</v>
      </c>
      <c r="T3" s="8" t="s">
        <v>76</v>
      </c>
      <c r="U3" s="8" t="s">
        <v>77</v>
      </c>
      <c r="V3" s="2" t="s">
        <v>78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55"/>
  <sheetViews>
    <sheetView zoomScalePageLayoutView="0" workbookViewId="0" topLeftCell="F1">
      <selection activeCell="P27" sqref="P27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4" bestFit="1" customWidth="1"/>
    <col min="12" max="12" width="10.140625" style="14" bestFit="1" customWidth="1"/>
    <col min="13" max="13" width="13.421875" style="14" customWidth="1"/>
    <col min="14" max="14" width="10.7109375" style="9" bestFit="1" customWidth="1"/>
    <col min="15" max="15" width="9.8515625" style="9" bestFit="1" customWidth="1"/>
    <col min="16" max="16" width="9.8515625" style="2" bestFit="1" customWidth="1"/>
    <col min="17" max="18" width="15.57421875" style="8" bestFit="1" customWidth="1"/>
    <col min="19" max="19" width="10.8515625" style="2" bestFit="1" customWidth="1"/>
    <col min="20" max="21" width="9.140625" style="2" customWidth="1"/>
    <col min="22" max="140" width="9.140625" style="134" customWidth="1"/>
    <col min="141" max="16384" width="9.140625" style="2" customWidth="1"/>
  </cols>
  <sheetData>
    <row r="2" ht="11.25">
      <c r="D2" s="127" t="s">
        <v>92</v>
      </c>
    </row>
    <row r="3" spans="1:16" ht="11.25">
      <c r="A3" s="3" t="s">
        <v>95</v>
      </c>
      <c r="B3" s="16"/>
      <c r="C3" s="4"/>
      <c r="D3" s="126" t="s">
        <v>90</v>
      </c>
      <c r="E3" s="4"/>
      <c r="F3" s="4"/>
      <c r="G3" s="4"/>
      <c r="H3" s="4"/>
      <c r="I3" s="4"/>
      <c r="J3" s="4"/>
      <c r="M3" s="97"/>
      <c r="N3" s="96"/>
      <c r="O3" s="96" t="s">
        <v>111</v>
      </c>
      <c r="P3" s="115">
        <v>42735</v>
      </c>
    </row>
    <row r="5" spans="1:141" ht="38.25" customHeight="1">
      <c r="A5" s="5" t="s">
        <v>101</v>
      </c>
      <c r="B5" s="17" t="s">
        <v>82</v>
      </c>
      <c r="C5" s="6" t="s">
        <v>70</v>
      </c>
      <c r="D5" s="116" t="s">
        <v>63</v>
      </c>
      <c r="E5" s="5" t="s">
        <v>83</v>
      </c>
      <c r="F5" s="125" t="s">
        <v>71</v>
      </c>
      <c r="G5" s="125" t="s">
        <v>72</v>
      </c>
      <c r="H5" s="6" t="s">
        <v>9</v>
      </c>
      <c r="I5" s="6" t="s">
        <v>10</v>
      </c>
      <c r="J5" s="118" t="s">
        <v>8</v>
      </c>
      <c r="K5" s="117" t="s">
        <v>84</v>
      </c>
      <c r="L5" s="15" t="s">
        <v>85</v>
      </c>
      <c r="M5" s="117" t="s">
        <v>73</v>
      </c>
      <c r="N5" s="117" t="s">
        <v>74</v>
      </c>
      <c r="O5" s="11" t="s">
        <v>102</v>
      </c>
      <c r="P5" s="13" t="s">
        <v>65</v>
      </c>
      <c r="Q5" s="132" t="s">
        <v>11</v>
      </c>
      <c r="R5" s="8" t="s">
        <v>76</v>
      </c>
      <c r="S5" s="8" t="s">
        <v>77</v>
      </c>
      <c r="T5" s="2" t="s">
        <v>78</v>
      </c>
      <c r="V5" s="2"/>
      <c r="EK5" s="134"/>
    </row>
    <row r="6" spans="1:21" s="243" customFormat="1" ht="15">
      <c r="A6" s="239" t="s">
        <v>566</v>
      </c>
      <c r="B6" s="240">
        <v>42657</v>
      </c>
      <c r="C6" s="239" t="s">
        <v>567</v>
      </c>
      <c r="D6" s="241">
        <v>485</v>
      </c>
      <c r="E6" s="242"/>
      <c r="K6" s="146">
        <v>42676</v>
      </c>
      <c r="M6" s="146">
        <v>42745</v>
      </c>
      <c r="N6" s="146">
        <v>42745</v>
      </c>
      <c r="O6" s="232">
        <f>+$P$3-K6</f>
        <v>59</v>
      </c>
      <c r="P6" s="9">
        <f>+O6-30</f>
        <v>29</v>
      </c>
      <c r="Q6" s="245">
        <v>29</v>
      </c>
      <c r="R6" s="246">
        <f>+O6*D6</f>
        <v>28615</v>
      </c>
      <c r="S6" s="2">
        <f>+P6*D6</f>
        <v>14065</v>
      </c>
      <c r="T6" s="242"/>
      <c r="U6" s="242"/>
    </row>
    <row r="7" spans="1:21" s="243" customFormat="1" ht="15">
      <c r="A7" s="239" t="s">
        <v>568</v>
      </c>
      <c r="B7" s="240">
        <v>42704</v>
      </c>
      <c r="C7" s="239" t="s">
        <v>569</v>
      </c>
      <c r="D7" s="241">
        <v>91.63</v>
      </c>
      <c r="K7" s="146">
        <v>42727</v>
      </c>
      <c r="M7" s="146">
        <v>42737</v>
      </c>
      <c r="N7" s="146">
        <v>42737</v>
      </c>
      <c r="O7" s="232">
        <f>+$P$3-K7</f>
        <v>8</v>
      </c>
      <c r="P7" s="9">
        <f>+O7-30</f>
        <v>-22</v>
      </c>
      <c r="Q7" s="245">
        <v>22</v>
      </c>
      <c r="R7" s="246">
        <f>+O7*D7</f>
        <v>733.04</v>
      </c>
      <c r="S7" s="2">
        <f>+P7*D7</f>
        <v>-2015.86</v>
      </c>
      <c r="T7" s="242"/>
      <c r="U7" s="242"/>
    </row>
    <row r="8" spans="1:21" s="243" customFormat="1" ht="15">
      <c r="A8" s="239" t="s">
        <v>570</v>
      </c>
      <c r="B8" s="240">
        <v>42704</v>
      </c>
      <c r="C8" s="239" t="s">
        <v>571</v>
      </c>
      <c r="D8" s="241">
        <v>172.27</v>
      </c>
      <c r="K8" s="146">
        <v>42727</v>
      </c>
      <c r="M8" s="146">
        <v>42737</v>
      </c>
      <c r="N8" s="146">
        <v>42737</v>
      </c>
      <c r="O8" s="232">
        <f>+$P$3-K8</f>
        <v>8</v>
      </c>
      <c r="P8" s="9">
        <f>+O8-30</f>
        <v>-22</v>
      </c>
      <c r="Q8" s="245">
        <v>22</v>
      </c>
      <c r="R8" s="246">
        <f>+O8*D8</f>
        <v>1378.16</v>
      </c>
      <c r="S8" s="2">
        <f>+P8*D8</f>
        <v>-3789.94</v>
      </c>
      <c r="T8" s="242"/>
      <c r="U8" s="242"/>
    </row>
    <row r="9" spans="1:21" s="243" customFormat="1" ht="15">
      <c r="A9" s="239" t="s">
        <v>572</v>
      </c>
      <c r="B9" s="240">
        <v>42689</v>
      </c>
      <c r="C9" s="239" t="s">
        <v>573</v>
      </c>
      <c r="D9" s="241">
        <v>74.26</v>
      </c>
      <c r="K9" s="146">
        <v>42727</v>
      </c>
      <c r="M9" s="146">
        <v>42752</v>
      </c>
      <c r="N9" s="146">
        <v>42752</v>
      </c>
      <c r="O9" s="232">
        <f>+$P$3-K9</f>
        <v>8</v>
      </c>
      <c r="P9" s="9">
        <f>+O9-30</f>
        <v>-22</v>
      </c>
      <c r="Q9" s="245">
        <v>22</v>
      </c>
      <c r="R9" s="246">
        <f>+O9*D9</f>
        <v>594.08</v>
      </c>
      <c r="S9" s="2">
        <f>+P9*D9</f>
        <v>-1633.72</v>
      </c>
      <c r="T9" s="242"/>
      <c r="U9" s="242"/>
    </row>
    <row r="10" spans="1:21" s="243" customFormat="1" ht="15">
      <c r="A10" s="239" t="s">
        <v>574</v>
      </c>
      <c r="B10" s="240">
        <v>42735</v>
      </c>
      <c r="C10" s="239" t="s">
        <v>575</v>
      </c>
      <c r="D10" s="241">
        <v>215.84</v>
      </c>
      <c r="K10" s="244"/>
      <c r="M10" s="146">
        <v>42740</v>
      </c>
      <c r="N10" s="146">
        <v>42740</v>
      </c>
      <c r="O10" s="232"/>
      <c r="P10" s="245"/>
      <c r="Q10" s="245"/>
      <c r="R10" s="246"/>
      <c r="S10" s="2"/>
      <c r="T10" s="242"/>
      <c r="U10" s="242"/>
    </row>
    <row r="11" spans="1:21" s="243" customFormat="1" ht="15">
      <c r="A11" s="239" t="s">
        <v>576</v>
      </c>
      <c r="B11" s="240">
        <v>42686</v>
      </c>
      <c r="C11" s="239" t="s">
        <v>577</v>
      </c>
      <c r="D11" s="241">
        <v>40</v>
      </c>
      <c r="K11" s="244"/>
      <c r="M11" s="146">
        <v>42751</v>
      </c>
      <c r="N11" s="146">
        <v>42751</v>
      </c>
      <c r="O11" s="232"/>
      <c r="P11" s="245"/>
      <c r="Q11" s="245"/>
      <c r="R11" s="245"/>
      <c r="S11" s="247"/>
      <c r="T11" s="242"/>
      <c r="U11" s="242"/>
    </row>
    <row r="12" spans="1:21" s="243" customFormat="1" ht="15">
      <c r="A12" s="239" t="s">
        <v>578</v>
      </c>
      <c r="B12" s="240">
        <v>42725</v>
      </c>
      <c r="C12" s="239" t="s">
        <v>579</v>
      </c>
      <c r="D12" s="241">
        <v>250</v>
      </c>
      <c r="K12" s="244"/>
      <c r="M12" s="146">
        <v>42751</v>
      </c>
      <c r="N12" s="146">
        <v>42751</v>
      </c>
      <c r="O12" s="232"/>
      <c r="P12" s="245"/>
      <c r="Q12" s="245"/>
      <c r="R12" s="245"/>
      <c r="S12" s="247"/>
      <c r="T12" s="242"/>
      <c r="U12" s="242"/>
    </row>
    <row r="13" spans="1:21" s="243" customFormat="1" ht="15">
      <c r="A13" s="239" t="s">
        <v>580</v>
      </c>
      <c r="B13" s="240">
        <v>42733</v>
      </c>
      <c r="C13" s="239" t="s">
        <v>581</v>
      </c>
      <c r="D13" s="241">
        <v>508.2</v>
      </c>
      <c r="K13" s="244"/>
      <c r="M13" s="146">
        <v>42751</v>
      </c>
      <c r="N13" s="146">
        <v>42751</v>
      </c>
      <c r="O13" s="232"/>
      <c r="P13" s="245"/>
      <c r="Q13" s="245"/>
      <c r="R13" s="245"/>
      <c r="S13" s="247"/>
      <c r="T13" s="242"/>
      <c r="U13" s="242"/>
    </row>
    <row r="14" spans="1:21" s="243" customFormat="1" ht="15">
      <c r="A14" s="239" t="s">
        <v>582</v>
      </c>
      <c r="B14" s="240">
        <v>42734</v>
      </c>
      <c r="C14" s="239" t="s">
        <v>583</v>
      </c>
      <c r="D14" s="241">
        <v>127.73</v>
      </c>
      <c r="K14" s="244"/>
      <c r="M14" s="146">
        <v>42751</v>
      </c>
      <c r="N14" s="146">
        <v>42751</v>
      </c>
      <c r="O14" s="232"/>
      <c r="P14" s="245"/>
      <c r="Q14" s="245"/>
      <c r="R14" s="245"/>
      <c r="S14" s="247"/>
      <c r="T14" s="242"/>
      <c r="U14" s="242"/>
    </row>
    <row r="15" spans="1:21" s="243" customFormat="1" ht="15">
      <c r="A15" s="239" t="s">
        <v>584</v>
      </c>
      <c r="B15" s="240">
        <v>42735</v>
      </c>
      <c r="C15" s="239" t="s">
        <v>585</v>
      </c>
      <c r="D15" s="241">
        <v>222</v>
      </c>
      <c r="K15" s="244"/>
      <c r="M15" s="146">
        <v>42751</v>
      </c>
      <c r="N15" s="146">
        <v>42751</v>
      </c>
      <c r="O15" s="232"/>
      <c r="P15" s="245"/>
      <c r="Q15" s="245"/>
      <c r="R15" s="245"/>
      <c r="S15" s="247"/>
      <c r="T15" s="242"/>
      <c r="U15" s="242"/>
    </row>
    <row r="16" spans="1:21" s="243" customFormat="1" ht="15">
      <c r="A16" s="239" t="s">
        <v>586</v>
      </c>
      <c r="B16" s="240">
        <v>42732</v>
      </c>
      <c r="C16" s="239" t="s">
        <v>587</v>
      </c>
      <c r="D16" s="241">
        <v>2880</v>
      </c>
      <c r="K16" s="244"/>
      <c r="M16" s="146">
        <v>42751</v>
      </c>
      <c r="N16" s="146">
        <v>42751</v>
      </c>
      <c r="O16" s="232"/>
      <c r="P16" s="245"/>
      <c r="Q16" s="245"/>
      <c r="R16" s="245"/>
      <c r="S16" s="247"/>
      <c r="T16" s="242"/>
      <c r="U16" s="242"/>
    </row>
    <row r="17" spans="1:21" s="243" customFormat="1" ht="15">
      <c r="A17" s="239" t="s">
        <v>588</v>
      </c>
      <c r="B17" s="240">
        <v>42726</v>
      </c>
      <c r="C17" s="239" t="s">
        <v>589</v>
      </c>
      <c r="D17" s="241">
        <v>538.11</v>
      </c>
      <c r="K17" s="244"/>
      <c r="M17" s="146">
        <v>42751</v>
      </c>
      <c r="N17" s="146">
        <v>42751</v>
      </c>
      <c r="O17" s="232"/>
      <c r="P17" s="245"/>
      <c r="Q17" s="245"/>
      <c r="R17" s="245"/>
      <c r="S17" s="247"/>
      <c r="T17" s="242"/>
      <c r="U17" s="242"/>
    </row>
    <row r="18" spans="1:21" s="243" customFormat="1" ht="15">
      <c r="A18" s="239" t="s">
        <v>590</v>
      </c>
      <c r="B18" s="240">
        <v>42706</v>
      </c>
      <c r="C18" s="239" t="s">
        <v>591</v>
      </c>
      <c r="D18" s="241">
        <v>396.88</v>
      </c>
      <c r="K18" s="244"/>
      <c r="M18" s="146">
        <v>42751</v>
      </c>
      <c r="N18" s="146">
        <v>42751</v>
      </c>
      <c r="O18" s="232"/>
      <c r="P18" s="245"/>
      <c r="Q18" s="245"/>
      <c r="R18" s="245"/>
      <c r="S18" s="247"/>
      <c r="T18" s="242"/>
      <c r="U18" s="242"/>
    </row>
    <row r="19" spans="1:21" s="243" customFormat="1" ht="15">
      <c r="A19" s="239" t="s">
        <v>592</v>
      </c>
      <c r="B19" s="240">
        <v>42716</v>
      </c>
      <c r="C19" s="239" t="s">
        <v>593</v>
      </c>
      <c r="D19" s="241">
        <v>524.56</v>
      </c>
      <c r="K19" s="244"/>
      <c r="M19" s="146">
        <v>42751</v>
      </c>
      <c r="N19" s="146">
        <v>42751</v>
      </c>
      <c r="O19" s="232"/>
      <c r="P19" s="245"/>
      <c r="Q19" s="245"/>
      <c r="R19" s="245"/>
      <c r="S19" s="247"/>
      <c r="T19" s="242"/>
      <c r="U19" s="242"/>
    </row>
    <row r="20" spans="1:21" s="243" customFormat="1" ht="15">
      <c r="A20" s="239" t="s">
        <v>594</v>
      </c>
      <c r="B20" s="240">
        <v>42723</v>
      </c>
      <c r="C20" s="239" t="s">
        <v>595</v>
      </c>
      <c r="D20" s="241">
        <v>166.36</v>
      </c>
      <c r="K20" s="244"/>
      <c r="M20" s="146">
        <v>42751</v>
      </c>
      <c r="N20" s="146">
        <v>42751</v>
      </c>
      <c r="O20" s="232"/>
      <c r="P20" s="245"/>
      <c r="Q20" s="245"/>
      <c r="R20" s="245"/>
      <c r="S20" s="247"/>
      <c r="T20" s="242"/>
      <c r="U20" s="242"/>
    </row>
    <row r="21" spans="1:21" s="243" customFormat="1" ht="15">
      <c r="A21" s="239" t="s">
        <v>596</v>
      </c>
      <c r="B21" s="240">
        <v>42723</v>
      </c>
      <c r="C21" s="239" t="s">
        <v>597</v>
      </c>
      <c r="D21" s="241">
        <v>31.4</v>
      </c>
      <c r="K21" s="244"/>
      <c r="M21" s="146">
        <v>42751</v>
      </c>
      <c r="N21" s="146">
        <v>42751</v>
      </c>
      <c r="O21" s="232"/>
      <c r="P21" s="245"/>
      <c r="Q21" s="245"/>
      <c r="R21" s="245"/>
      <c r="S21" s="247"/>
      <c r="T21" s="242"/>
      <c r="U21" s="242"/>
    </row>
    <row r="22" spans="1:21" s="243" customFormat="1" ht="15">
      <c r="A22" s="239" t="s">
        <v>598</v>
      </c>
      <c r="B22" s="240">
        <v>42727</v>
      </c>
      <c r="C22" s="239" t="s">
        <v>599</v>
      </c>
      <c r="D22" s="241">
        <v>8.65</v>
      </c>
      <c r="K22" s="244"/>
      <c r="M22" s="146">
        <v>42751</v>
      </c>
      <c r="N22" s="146">
        <v>42751</v>
      </c>
      <c r="O22" s="232"/>
      <c r="P22" s="245"/>
      <c r="Q22" s="245"/>
      <c r="R22" s="245"/>
      <c r="S22" s="247"/>
      <c r="T22" s="242"/>
      <c r="U22" s="242"/>
    </row>
    <row r="23" spans="1:21" s="243" customFormat="1" ht="15">
      <c r="A23" s="239" t="s">
        <v>600</v>
      </c>
      <c r="B23" s="240">
        <v>42699</v>
      </c>
      <c r="C23" s="239" t="s">
        <v>601</v>
      </c>
      <c r="D23" s="241">
        <v>732.94</v>
      </c>
      <c r="K23" s="244"/>
      <c r="M23" s="146">
        <v>42751</v>
      </c>
      <c r="N23" s="146">
        <v>42751</v>
      </c>
      <c r="O23" s="232"/>
      <c r="P23" s="245"/>
      <c r="Q23" s="245"/>
      <c r="R23" s="245"/>
      <c r="S23" s="247"/>
      <c r="T23" s="242"/>
      <c r="U23" s="242"/>
    </row>
    <row r="24" spans="1:21" s="243" customFormat="1" ht="15">
      <c r="A24" s="239" t="s">
        <v>602</v>
      </c>
      <c r="B24" s="240">
        <v>42716</v>
      </c>
      <c r="C24" s="239" t="s">
        <v>603</v>
      </c>
      <c r="D24" s="241">
        <v>150</v>
      </c>
      <c r="K24" s="244"/>
      <c r="M24" s="146">
        <v>42751</v>
      </c>
      <c r="N24" s="146">
        <v>42751</v>
      </c>
      <c r="O24" s="232"/>
      <c r="P24" s="245"/>
      <c r="Q24" s="245"/>
      <c r="R24" s="245"/>
      <c r="S24" s="247"/>
      <c r="T24" s="242"/>
      <c r="U24" s="242"/>
    </row>
    <row r="25" spans="1:21" s="243" customFormat="1" ht="15">
      <c r="A25" s="239" t="s">
        <v>604</v>
      </c>
      <c r="B25" s="240">
        <v>42704</v>
      </c>
      <c r="C25" s="239" t="s">
        <v>605</v>
      </c>
      <c r="D25" s="241">
        <v>665.5</v>
      </c>
      <c r="K25" s="244"/>
      <c r="M25" s="146">
        <v>42751</v>
      </c>
      <c r="N25" s="146">
        <v>42751</v>
      </c>
      <c r="O25" s="232"/>
      <c r="P25" s="245"/>
      <c r="Q25" s="245"/>
      <c r="R25" s="245"/>
      <c r="S25" s="247"/>
      <c r="T25" s="242"/>
      <c r="U25" s="242"/>
    </row>
    <row r="26" spans="1:21" s="243" customFormat="1" ht="15">
      <c r="A26" s="239" t="s">
        <v>606</v>
      </c>
      <c r="B26" s="240">
        <v>42703</v>
      </c>
      <c r="C26" s="239" t="s">
        <v>607</v>
      </c>
      <c r="D26" s="241">
        <v>60</v>
      </c>
      <c r="K26" s="244"/>
      <c r="M26" s="146">
        <v>42751</v>
      </c>
      <c r="N26" s="146">
        <v>42751</v>
      </c>
      <c r="O26" s="232"/>
      <c r="P26" s="245"/>
      <c r="Q26" s="245"/>
      <c r="R26" s="245"/>
      <c r="S26" s="247"/>
      <c r="T26" s="242"/>
      <c r="U26" s="242"/>
    </row>
    <row r="27" spans="1:21" s="243" customFormat="1" ht="15">
      <c r="A27" s="239" t="s">
        <v>608</v>
      </c>
      <c r="B27" s="240">
        <v>42718</v>
      </c>
      <c r="C27" s="239" t="s">
        <v>609</v>
      </c>
      <c r="D27" s="241">
        <v>2750</v>
      </c>
      <c r="K27" s="244"/>
      <c r="M27" s="146">
        <v>42751</v>
      </c>
      <c r="N27" s="146">
        <v>42751</v>
      </c>
      <c r="O27" s="232"/>
      <c r="P27" s="245"/>
      <c r="Q27" s="245"/>
      <c r="R27" s="245"/>
      <c r="S27" s="247"/>
      <c r="T27" s="242"/>
      <c r="U27" s="242"/>
    </row>
    <row r="28" spans="1:21" s="243" customFormat="1" ht="15">
      <c r="A28" s="239" t="s">
        <v>610</v>
      </c>
      <c r="B28" s="240">
        <v>42725</v>
      </c>
      <c r="C28" s="239" t="s">
        <v>611</v>
      </c>
      <c r="D28" s="241">
        <v>2750</v>
      </c>
      <c r="K28" s="244"/>
      <c r="M28" s="146">
        <v>42751</v>
      </c>
      <c r="N28" s="146">
        <v>42751</v>
      </c>
      <c r="O28" s="232"/>
      <c r="P28" s="245"/>
      <c r="Q28" s="245"/>
      <c r="R28" s="245"/>
      <c r="S28" s="247"/>
      <c r="T28" s="242"/>
      <c r="U28" s="242"/>
    </row>
    <row r="29" spans="1:21" s="243" customFormat="1" ht="15">
      <c r="A29" s="239" t="s">
        <v>612</v>
      </c>
      <c r="B29" s="240">
        <v>42731</v>
      </c>
      <c r="C29" s="239" t="s">
        <v>613</v>
      </c>
      <c r="D29" s="241">
        <v>2750</v>
      </c>
      <c r="K29" s="244"/>
      <c r="M29" s="146">
        <v>42751</v>
      </c>
      <c r="N29" s="146">
        <v>42751</v>
      </c>
      <c r="O29" s="232"/>
      <c r="P29" s="245"/>
      <c r="Q29" s="245"/>
      <c r="R29" s="245"/>
      <c r="S29" s="247"/>
      <c r="T29" s="242"/>
      <c r="U29" s="242"/>
    </row>
    <row r="30" spans="1:21" s="243" customFormat="1" ht="15">
      <c r="A30" s="239" t="s">
        <v>614</v>
      </c>
      <c r="B30" s="240">
        <v>42674</v>
      </c>
      <c r="C30" s="239" t="s">
        <v>615</v>
      </c>
      <c r="D30" s="241">
        <v>68.76</v>
      </c>
      <c r="K30" s="244"/>
      <c r="M30" s="146">
        <v>42751</v>
      </c>
      <c r="N30" s="146">
        <v>42751</v>
      </c>
      <c r="O30" s="232"/>
      <c r="P30" s="245"/>
      <c r="Q30" s="245"/>
      <c r="R30" s="245"/>
      <c r="S30" s="247"/>
      <c r="T30" s="242"/>
      <c r="U30" s="242"/>
    </row>
    <row r="31" spans="1:21" s="243" customFormat="1" ht="15">
      <c r="A31" s="239" t="s">
        <v>616</v>
      </c>
      <c r="B31" s="240">
        <v>42716</v>
      </c>
      <c r="C31" s="239" t="s">
        <v>617</v>
      </c>
      <c r="D31" s="241">
        <v>44.25</v>
      </c>
      <c r="K31" s="244"/>
      <c r="M31" s="146">
        <v>42751</v>
      </c>
      <c r="N31" s="146">
        <v>42751</v>
      </c>
      <c r="O31" s="232"/>
      <c r="P31" s="245"/>
      <c r="Q31" s="245"/>
      <c r="R31" s="245"/>
      <c r="S31" s="247"/>
      <c r="T31" s="242"/>
      <c r="U31" s="242"/>
    </row>
    <row r="32" spans="1:21" s="243" customFormat="1" ht="15">
      <c r="A32" s="239" t="s">
        <v>618</v>
      </c>
      <c r="B32" s="240">
        <v>42732</v>
      </c>
      <c r="C32" s="239" t="s">
        <v>619</v>
      </c>
      <c r="D32" s="241">
        <v>3569.5</v>
      </c>
      <c r="K32" s="244"/>
      <c r="M32" s="146">
        <v>42751</v>
      </c>
      <c r="N32" s="146">
        <v>42751</v>
      </c>
      <c r="O32" s="232"/>
      <c r="P32" s="245"/>
      <c r="Q32" s="245"/>
      <c r="R32" s="245"/>
      <c r="S32" s="247"/>
      <c r="T32" s="242"/>
      <c r="U32" s="242"/>
    </row>
    <row r="33" spans="1:21" s="243" customFormat="1" ht="15">
      <c r="A33" s="239" t="s">
        <v>620</v>
      </c>
      <c r="B33" s="240">
        <v>42727</v>
      </c>
      <c r="C33" s="239" t="s">
        <v>621</v>
      </c>
      <c r="D33" s="241">
        <v>30.15</v>
      </c>
      <c r="K33" s="244"/>
      <c r="M33" s="146">
        <v>42744</v>
      </c>
      <c r="N33" s="146">
        <v>42744</v>
      </c>
      <c r="O33" s="232"/>
      <c r="P33" s="245"/>
      <c r="Q33" s="245"/>
      <c r="R33" s="245"/>
      <c r="S33" s="247"/>
      <c r="T33" s="242"/>
      <c r="U33" s="242"/>
    </row>
    <row r="34" spans="1:21" s="243" customFormat="1" ht="15">
      <c r="A34" s="239" t="s">
        <v>622</v>
      </c>
      <c r="B34" s="240">
        <v>42732</v>
      </c>
      <c r="C34" s="239" t="s">
        <v>623</v>
      </c>
      <c r="D34" s="241">
        <v>84.2</v>
      </c>
      <c r="K34" s="244"/>
      <c r="M34" s="146">
        <v>42748</v>
      </c>
      <c r="N34" s="146">
        <v>42748</v>
      </c>
      <c r="O34" s="232"/>
      <c r="P34" s="245"/>
      <c r="Q34" s="245"/>
      <c r="R34" s="245"/>
      <c r="S34" s="247"/>
      <c r="T34" s="242"/>
      <c r="U34" s="242"/>
    </row>
    <row r="35" spans="1:21" s="243" customFormat="1" ht="15">
      <c r="A35" s="239" t="s">
        <v>624</v>
      </c>
      <c r="B35" s="240">
        <v>42719</v>
      </c>
      <c r="C35" s="239" t="s">
        <v>625</v>
      </c>
      <c r="D35" s="241">
        <v>217.15</v>
      </c>
      <c r="K35" s="244"/>
      <c r="M35" s="146">
        <v>42751</v>
      </c>
      <c r="N35" s="146">
        <v>42751</v>
      </c>
      <c r="O35" s="232"/>
      <c r="P35" s="245"/>
      <c r="Q35" s="245"/>
      <c r="R35" s="245"/>
      <c r="S35" s="247"/>
      <c r="T35" s="242"/>
      <c r="U35" s="242"/>
    </row>
    <row r="36" spans="1:21" s="243" customFormat="1" ht="15">
      <c r="A36" s="239" t="s">
        <v>626</v>
      </c>
      <c r="B36" s="240">
        <v>42704</v>
      </c>
      <c r="C36" s="239" t="s">
        <v>627</v>
      </c>
      <c r="D36" s="241">
        <v>247.06</v>
      </c>
      <c r="K36" s="244"/>
      <c r="M36" s="146">
        <v>42737</v>
      </c>
      <c r="N36" s="146">
        <v>42737</v>
      </c>
      <c r="O36" s="232"/>
      <c r="P36" s="245"/>
      <c r="Q36" s="245"/>
      <c r="R36" s="245"/>
      <c r="S36" s="247"/>
      <c r="T36" s="242"/>
      <c r="U36" s="242"/>
    </row>
    <row r="37" spans="1:21" s="243" customFormat="1" ht="15">
      <c r="A37" s="239" t="s">
        <v>628</v>
      </c>
      <c r="B37" s="240">
        <v>42730</v>
      </c>
      <c r="C37" s="239" t="s">
        <v>629</v>
      </c>
      <c r="D37" s="241">
        <v>438</v>
      </c>
      <c r="K37" s="244"/>
      <c r="M37" s="146">
        <v>42751</v>
      </c>
      <c r="N37" s="146">
        <v>42751</v>
      </c>
      <c r="O37" s="232"/>
      <c r="P37" s="245"/>
      <c r="Q37" s="245"/>
      <c r="R37" s="245"/>
      <c r="S37" s="247"/>
      <c r="T37" s="242"/>
      <c r="U37" s="242"/>
    </row>
    <row r="38" spans="1:21" s="243" customFormat="1" ht="15">
      <c r="A38" s="239" t="s">
        <v>630</v>
      </c>
      <c r="B38" s="240">
        <v>42730</v>
      </c>
      <c r="C38" s="239" t="s">
        <v>631</v>
      </c>
      <c r="D38" s="241">
        <v>438</v>
      </c>
      <c r="K38" s="244"/>
      <c r="M38" s="146">
        <v>42751</v>
      </c>
      <c r="N38" s="146">
        <v>42751</v>
      </c>
      <c r="O38" s="232"/>
      <c r="P38" s="245"/>
      <c r="Q38" s="245"/>
      <c r="R38" s="245"/>
      <c r="S38" s="247"/>
      <c r="T38" s="242"/>
      <c r="U38" s="242"/>
    </row>
    <row r="39" spans="1:21" s="134" customFormat="1" ht="15">
      <c r="A39" s="147"/>
      <c r="B39" s="148"/>
      <c r="C39" s="147"/>
      <c r="D39" s="149"/>
      <c r="K39" s="148"/>
      <c r="L39" s="141"/>
      <c r="M39" s="150"/>
      <c r="N39" s="144"/>
      <c r="O39" s="144"/>
      <c r="P39" s="151"/>
      <c r="Q39" s="144"/>
      <c r="R39" s="145"/>
      <c r="T39" s="135"/>
      <c r="U39" s="135"/>
    </row>
    <row r="40" spans="1:21" s="134" customFormat="1" ht="15">
      <c r="A40" s="147"/>
      <c r="B40" s="148"/>
      <c r="C40" s="147"/>
      <c r="D40" s="149"/>
      <c r="K40" s="148"/>
      <c r="L40" s="141"/>
      <c r="M40" s="150"/>
      <c r="N40" s="144"/>
      <c r="O40" s="144"/>
      <c r="P40" s="151"/>
      <c r="Q40" s="144"/>
      <c r="R40" s="145"/>
      <c r="T40" s="135"/>
      <c r="U40" s="135"/>
    </row>
    <row r="41" spans="1:21" s="134" customFormat="1" ht="15">
      <c r="A41" s="147"/>
      <c r="B41" s="148"/>
      <c r="C41" s="147"/>
      <c r="D41" s="149"/>
      <c r="K41" s="148"/>
      <c r="L41" s="141"/>
      <c r="M41" s="150"/>
      <c r="N41" s="144"/>
      <c r="O41" s="144"/>
      <c r="P41" s="151"/>
      <c r="Q41" s="144"/>
      <c r="R41" s="145"/>
      <c r="T41" s="135"/>
      <c r="U41" s="135"/>
    </row>
    <row r="42" spans="1:21" s="134" customFormat="1" ht="15">
      <c r="A42" s="147"/>
      <c r="B42" s="148"/>
      <c r="C42" s="147"/>
      <c r="D42" s="149"/>
      <c r="K42" s="148"/>
      <c r="L42" s="141"/>
      <c r="M42" s="150"/>
      <c r="N42" s="144"/>
      <c r="O42" s="144"/>
      <c r="P42" s="151"/>
      <c r="Q42" s="144"/>
      <c r="R42" s="145"/>
      <c r="T42" s="135"/>
      <c r="U42" s="135"/>
    </row>
    <row r="43" spans="1:21" s="134" customFormat="1" ht="15">
      <c r="A43" s="147"/>
      <c r="B43" s="148"/>
      <c r="C43" s="147"/>
      <c r="D43" s="149"/>
      <c r="K43" s="148"/>
      <c r="L43" s="141"/>
      <c r="M43" s="150"/>
      <c r="N43" s="144"/>
      <c r="O43" s="144"/>
      <c r="P43" s="151"/>
      <c r="Q43" s="144"/>
      <c r="R43" s="145"/>
      <c r="T43" s="135"/>
      <c r="U43" s="135"/>
    </row>
    <row r="44" spans="1:21" s="134" customFormat="1" ht="15">
      <c r="A44" s="147"/>
      <c r="B44" s="148"/>
      <c r="C44" s="147"/>
      <c r="D44" s="149"/>
      <c r="K44" s="148"/>
      <c r="L44" s="141"/>
      <c r="M44" s="150"/>
      <c r="N44" s="144"/>
      <c r="O44" s="144"/>
      <c r="P44" s="151"/>
      <c r="Q44" s="144"/>
      <c r="R44" s="145"/>
      <c r="T44" s="135"/>
      <c r="U44" s="135"/>
    </row>
    <row r="45" spans="1:21" s="134" customFormat="1" ht="15">
      <c r="A45" s="147"/>
      <c r="B45" s="148"/>
      <c r="C45" s="147"/>
      <c r="D45" s="149"/>
      <c r="K45" s="148"/>
      <c r="L45" s="141"/>
      <c r="M45" s="150"/>
      <c r="N45" s="144"/>
      <c r="O45" s="144"/>
      <c r="P45" s="151"/>
      <c r="Q45" s="144"/>
      <c r="R45" s="145"/>
      <c r="T45" s="135"/>
      <c r="U45" s="135"/>
    </row>
    <row r="46" spans="1:21" s="134" customFormat="1" ht="15">
      <c r="A46" s="147"/>
      <c r="B46" s="148"/>
      <c r="C46" s="147"/>
      <c r="D46" s="149"/>
      <c r="K46" s="148"/>
      <c r="L46" s="141"/>
      <c r="M46" s="150"/>
      <c r="N46" s="144"/>
      <c r="O46" s="144"/>
      <c r="P46" s="151"/>
      <c r="Q46" s="144"/>
      <c r="R46" s="145"/>
      <c r="T46" s="135"/>
      <c r="U46" s="135"/>
    </row>
    <row r="47" spans="1:18" ht="12.75">
      <c r="A47" s="142"/>
      <c r="B47" s="139"/>
      <c r="C47" s="142"/>
      <c r="D47" s="140"/>
      <c r="G47" s="142"/>
      <c r="L47" s="136"/>
      <c r="M47" s="136"/>
      <c r="N47" s="96"/>
      <c r="O47" s="96"/>
      <c r="P47" s="96"/>
      <c r="Q47" s="135"/>
      <c r="R47" s="135"/>
    </row>
    <row r="48" spans="1:18" ht="12.75">
      <c r="A48" s="142"/>
      <c r="B48" s="139"/>
      <c r="C48" s="142"/>
      <c r="D48" s="140"/>
      <c r="G48" s="142"/>
      <c r="N48" s="96"/>
      <c r="O48" s="96"/>
      <c r="P48" s="96"/>
      <c r="Q48" s="135"/>
      <c r="R48" s="135"/>
    </row>
    <row r="49" spans="1:18" ht="12.75">
      <c r="A49" s="142"/>
      <c r="B49" s="139"/>
      <c r="C49" s="142"/>
      <c r="D49" s="143"/>
      <c r="G49" s="142"/>
      <c r="N49" s="96"/>
      <c r="O49" s="96"/>
      <c r="P49" s="96"/>
      <c r="Q49" s="135"/>
      <c r="R49" s="135"/>
    </row>
    <row r="50" spans="1:18" ht="12.75">
      <c r="A50" s="142"/>
      <c r="B50" s="139"/>
      <c r="C50" s="142"/>
      <c r="D50" s="143"/>
      <c r="G50" s="142"/>
      <c r="N50" s="96"/>
      <c r="O50" s="96"/>
      <c r="P50" s="96"/>
      <c r="Q50" s="135"/>
      <c r="R50" s="135"/>
    </row>
    <row r="51" spans="1:18" ht="12.75">
      <c r="A51" s="142"/>
      <c r="B51" s="139"/>
      <c r="C51" s="142"/>
      <c r="D51" s="142"/>
      <c r="G51" s="142"/>
      <c r="N51" s="96"/>
      <c r="O51" s="96"/>
      <c r="P51" s="96"/>
      <c r="Q51" s="135"/>
      <c r="R51" s="135"/>
    </row>
    <row r="52" spans="1:7" ht="12.75">
      <c r="A52" s="142"/>
      <c r="B52" s="139"/>
      <c r="D52" s="142"/>
      <c r="G52" s="142"/>
    </row>
    <row r="53" spans="2:7" ht="12.75">
      <c r="B53" s="2"/>
      <c r="D53" s="142"/>
      <c r="G53" s="142"/>
    </row>
    <row r="54" spans="2:7" ht="12.75">
      <c r="B54" s="2"/>
      <c r="D54" s="142"/>
      <c r="G54" s="142"/>
    </row>
    <row r="55" spans="2:7" ht="12.75">
      <c r="B55" s="2"/>
      <c r="D55" s="142"/>
      <c r="G55" s="142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USR05</cp:lastModifiedBy>
  <cp:lastPrinted>2014-12-11T08:00:00Z</cp:lastPrinted>
  <dcterms:created xsi:type="dcterms:W3CDTF">2013-12-21T08:23:27Z</dcterms:created>
  <dcterms:modified xsi:type="dcterms:W3CDTF">2017-01-19T14:36:15Z</dcterms:modified>
  <cp:category/>
  <cp:version/>
  <cp:contentType/>
  <cp:contentStatus/>
</cp:coreProperties>
</file>