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INFORME" sheetId="1" r:id="rId1"/>
    <sheet name="detalle1" sheetId="2" r:id="rId2"/>
    <sheet name="detalle2" sheetId="3" r:id="rId3"/>
    <sheet name="detalle32" sheetId="4" r:id="rId4"/>
  </sheets>
  <definedNames>
    <definedName name="_xlnm.Print_Area" localSheetId="1">'detalle1'!$A$1:$R$6</definedName>
    <definedName name="_xlnm.Print_Area" localSheetId="2">'detalle2'!$A$1:$R$7</definedName>
    <definedName name="_xlnm.Print_Area" localSheetId="3">'detalle32'!$A$1:$P$7</definedName>
  </definedNames>
  <calcPr fullCalcOnLoad="1"/>
</workbook>
</file>

<file path=xl/sharedStrings.xml><?xml version="1.0" encoding="utf-8"?>
<sst xmlns="http://schemas.openxmlformats.org/spreadsheetml/2006/main" count="758" uniqueCount="664">
  <si>
    <t>20 -</t>
  </si>
  <si>
    <t>21 -</t>
  </si>
  <si>
    <t>22 -</t>
  </si>
  <si>
    <t>23 -</t>
  </si>
  <si>
    <t>2X -</t>
  </si>
  <si>
    <t>6X -</t>
  </si>
  <si>
    <t>%</t>
  </si>
  <si>
    <t>Partida</t>
  </si>
  <si>
    <t>ADO-17</t>
  </si>
  <si>
    <t>ADO-12</t>
  </si>
  <si>
    <t>capit</t>
  </si>
  <si>
    <t>INFORMACIÓN SOBRE PLAZOS DE PAGO</t>
  </si>
  <si>
    <t>Entidad local:</t>
  </si>
  <si>
    <t>Ejercicio:</t>
  </si>
  <si>
    <t>Trimestre:</t>
  </si>
  <si>
    <t>1.1. Por clasificación económica</t>
  </si>
  <si>
    <t>1.2. Por plazos</t>
  </si>
  <si>
    <t>Pagos en el trimestre</t>
  </si>
  <si>
    <t>Plazo de pago</t>
  </si>
  <si>
    <t>(promedio de días)</t>
  </si>
  <si>
    <t>Total</t>
  </si>
  <si>
    <t>Dentro del plazo legal</t>
  </si>
  <si>
    <t>Fuera del plazo legal</t>
  </si>
  <si>
    <t>Pagos realizados en el trimestre</t>
  </si>
  <si>
    <t>Número de pagos</t>
  </si>
  <si>
    <t>Importe total</t>
  </si>
  <si>
    <t>Arrendamientos y cánones</t>
  </si>
  <si>
    <t>Reparaciones, mantenimiento y conservación</t>
  </si>
  <si>
    <t>Material, suministros y otros</t>
  </si>
  <si>
    <t>Indemnizaciones por razón del servicio</t>
  </si>
  <si>
    <t>Otros</t>
  </si>
  <si>
    <t>Inversiones reales</t>
  </si>
  <si>
    <t>Pagos pendientes de aplicar al presupuesto</t>
  </si>
  <si>
    <t>* sólo facturas correspondientes a capítulos 2 y 6</t>
  </si>
  <si>
    <t>Pagos pendientes de aplicar al presupuesto*</t>
  </si>
  <si>
    <t>Gasto en bienes corrientes y servicios</t>
  </si>
  <si>
    <t>Número de días</t>
  </si>
  <si>
    <t>30 días o menos</t>
  </si>
  <si>
    <t>De 31 a 40 días</t>
  </si>
  <si>
    <t>De 51 a 60 días</t>
  </si>
  <si>
    <t>Más de 60 días</t>
  </si>
  <si>
    <t>Pagos realizados</t>
  </si>
  <si>
    <t>Número de facturas</t>
  </si>
  <si>
    <t>Pendientes de pago al finalizar el trimestre</t>
  </si>
  <si>
    <t>Número de operaciones</t>
  </si>
  <si>
    <t>Pendientes de aplicación al presupuesto</t>
  </si>
  <si>
    <t>Plazo
(promedio de días)</t>
  </si>
  <si>
    <t>Número</t>
  </si>
  <si>
    <t>De 31 a 60 días</t>
  </si>
  <si>
    <t>De 61 a 90 días</t>
  </si>
  <si>
    <t>Más de 90 días</t>
  </si>
  <si>
    <t>4. Plazo medio de pago de la entidad (PMP)</t>
  </si>
  <si>
    <t>PMP del trimestre</t>
  </si>
  <si>
    <t>Observaciones sobre el PMP:</t>
  </si>
  <si>
    <t>Ratio</t>
  </si>
  <si>
    <t>Facturas sin obligación reconocida</t>
  </si>
  <si>
    <t>PMP</t>
  </si>
  <si>
    <t>Importe</t>
  </si>
  <si>
    <t>Operaciones pagadas</t>
  </si>
  <si>
    <t>Operaciones pendientes de pago</t>
  </si>
  <si>
    <t>De las de fuera de plazo</t>
  </si>
  <si>
    <t>Facturas y documento justificativos
pendientes de pago al final del trimestre</t>
  </si>
  <si>
    <t>Facturas y documentos justificativos 
sin obligación reconocida
pasados más tres meses desde su registro</t>
  </si>
  <si>
    <t>3.1. Con más de tres meses desde su entrada en registro</t>
  </si>
  <si>
    <t>3. Facturas y documentos justificativos sin obligación reconocida al finalizar el trimestre</t>
  </si>
  <si>
    <t>3.2. Número de días desde su entrada en registro</t>
  </si>
  <si>
    <t>Facturas y documentos justificativos
sin obligación reconocida</t>
  </si>
  <si>
    <t>1. Pagos realizados en el trimestre. Plazo desde el reconocimiento de la obligación.</t>
  </si>
  <si>
    <t>2. Facturas pendientes de pago. Plazo desde el reconocimiento de la obligación.</t>
  </si>
  <si>
    <t>Facturas pagadas en el trimestre</t>
  </si>
  <si>
    <t>Número expediente</t>
  </si>
  <si>
    <t>Fecha fra</t>
  </si>
  <si>
    <t>Número fra</t>
  </si>
  <si>
    <t>Código Tercero</t>
  </si>
  <si>
    <t>Tercero</t>
  </si>
  <si>
    <t>Concepto</t>
  </si>
  <si>
    <t>Fecha Registro</t>
  </si>
  <si>
    <t>Fecha Descent.</t>
  </si>
  <si>
    <t>Fecha O</t>
  </si>
  <si>
    <t>Fecha P</t>
  </si>
  <si>
    <t>Plazo R-O</t>
  </si>
  <si>
    <t>Plazo
 O-P</t>
  </si>
  <si>
    <t>Plazo
 R-P</t>
  </si>
  <si>
    <t>Artic</t>
  </si>
  <si>
    <t>ponderación 1</t>
  </si>
  <si>
    <t>ponderación 2</t>
  </si>
  <si>
    <t>En plazo</t>
  </si>
  <si>
    <t>Plazo
 O
 - fin Trim</t>
  </si>
  <si>
    <t>Plazo
 R 
  - Fin Trim</t>
  </si>
  <si>
    <t>Fin trim.</t>
  </si>
  <si>
    <t>Oarsoaldea</t>
  </si>
  <si>
    <t>FCC1900001</t>
  </si>
  <si>
    <t>23012019</t>
  </si>
  <si>
    <t>FCC1900002</t>
  </si>
  <si>
    <t>1/2019</t>
  </si>
  <si>
    <t>FCC1900003</t>
  </si>
  <si>
    <t>020</t>
  </si>
  <si>
    <t>FCC1900007</t>
  </si>
  <si>
    <t>20190037</t>
  </si>
  <si>
    <t>FCC1900008</t>
  </si>
  <si>
    <t>A 27386</t>
  </si>
  <si>
    <t>FCC1900009</t>
  </si>
  <si>
    <t>2</t>
  </si>
  <si>
    <t>FCC1900010</t>
  </si>
  <si>
    <t>3</t>
  </si>
  <si>
    <t>FCC1900011</t>
  </si>
  <si>
    <t>1</t>
  </si>
  <si>
    <t>FCC1900012</t>
  </si>
  <si>
    <t>28.366</t>
  </si>
  <si>
    <t>FCC1900013</t>
  </si>
  <si>
    <t>20190006</t>
  </si>
  <si>
    <t>FCC1900014</t>
  </si>
  <si>
    <t>20190033</t>
  </si>
  <si>
    <t>FCC1900015</t>
  </si>
  <si>
    <t>190051/A</t>
  </si>
  <si>
    <t>FCC1900016</t>
  </si>
  <si>
    <t>FA-01124-19</t>
  </si>
  <si>
    <t>FCC1900017</t>
  </si>
  <si>
    <t>2100356</t>
  </si>
  <si>
    <t>FCC1900018</t>
  </si>
  <si>
    <t>2100357</t>
  </si>
  <si>
    <t>FCC1900021</t>
  </si>
  <si>
    <t>FP/20190094</t>
  </si>
  <si>
    <t>FCC1900024</t>
  </si>
  <si>
    <t>15032019</t>
  </si>
  <si>
    <t>FCC1900025</t>
  </si>
  <si>
    <t>2/2019</t>
  </si>
  <si>
    <t>FCC1900028</t>
  </si>
  <si>
    <t>28.379</t>
  </si>
  <si>
    <t>FCC1900029</t>
  </si>
  <si>
    <t>A 27671</t>
  </si>
  <si>
    <t>FCC1900030</t>
  </si>
  <si>
    <t>20190046</t>
  </si>
  <si>
    <t>FCC1900031</t>
  </si>
  <si>
    <t>28.400</t>
  </si>
  <si>
    <t>FCC1900032</t>
  </si>
  <si>
    <t>001</t>
  </si>
  <si>
    <t>FCC1900033</t>
  </si>
  <si>
    <t>5</t>
  </si>
  <si>
    <t>FCC1900034</t>
  </si>
  <si>
    <t>28.420</t>
  </si>
  <si>
    <t>FCC1900035</t>
  </si>
  <si>
    <t>28.423</t>
  </si>
  <si>
    <t>FCC1900036</t>
  </si>
  <si>
    <t>A 27741</t>
  </si>
  <si>
    <t>FCC1900037</t>
  </si>
  <si>
    <t>20190070</t>
  </si>
  <si>
    <t>FCC1900038</t>
  </si>
  <si>
    <t>2100495</t>
  </si>
  <si>
    <t>FCC1900039</t>
  </si>
  <si>
    <t>20190078</t>
  </si>
  <si>
    <t>FCC1900040</t>
  </si>
  <si>
    <t>B/37124</t>
  </si>
  <si>
    <t>FCC1900041</t>
  </si>
  <si>
    <t>5189326</t>
  </si>
  <si>
    <t>FCC1900042</t>
  </si>
  <si>
    <t>5189325</t>
  </si>
  <si>
    <t>FCC1900043</t>
  </si>
  <si>
    <t>5189324</t>
  </si>
  <si>
    <t>FCC1900044</t>
  </si>
  <si>
    <t>1501/19</t>
  </si>
  <si>
    <t>FCC1900045</t>
  </si>
  <si>
    <t>1502/19</t>
  </si>
  <si>
    <t>FCC1900046</t>
  </si>
  <si>
    <t>0000910</t>
  </si>
  <si>
    <t>FCC1900047</t>
  </si>
  <si>
    <t>00003084</t>
  </si>
  <si>
    <t>FCC1900048</t>
  </si>
  <si>
    <t>FSBR19-00118</t>
  </si>
  <si>
    <t>FCC1900049</t>
  </si>
  <si>
    <t>FSBR19-00151</t>
  </si>
  <si>
    <t>FCC1900050</t>
  </si>
  <si>
    <t>FSBR19-00119</t>
  </si>
  <si>
    <t>FCC1900051</t>
  </si>
  <si>
    <t>SA 5052</t>
  </si>
  <si>
    <t>FCC1900052</t>
  </si>
  <si>
    <t>DZ7614</t>
  </si>
  <si>
    <t>FCC1900053</t>
  </si>
  <si>
    <t>04/2019</t>
  </si>
  <si>
    <t>FCC1900058</t>
  </si>
  <si>
    <t>SI2019004895</t>
  </si>
  <si>
    <t>FCC1900059</t>
  </si>
  <si>
    <t>20190002</t>
  </si>
  <si>
    <t>FCC1900060</t>
  </si>
  <si>
    <t>09190130030006284</t>
  </si>
  <si>
    <t>FCC1900061</t>
  </si>
  <si>
    <t>21190130030006202</t>
  </si>
  <si>
    <t>FCC1900062</t>
  </si>
  <si>
    <t>21190130030017734</t>
  </si>
  <si>
    <t>FCC1900063</t>
  </si>
  <si>
    <t>21190130030017733</t>
  </si>
  <si>
    <t>FCC1900064</t>
  </si>
  <si>
    <t>21190130030017732</t>
  </si>
  <si>
    <t>FCC1900065</t>
  </si>
  <si>
    <t>21190130030011261</t>
  </si>
  <si>
    <t>FCC1900066</t>
  </si>
  <si>
    <t>19030</t>
  </si>
  <si>
    <t>FCC1900067</t>
  </si>
  <si>
    <t>FCC1900068</t>
  </si>
  <si>
    <t>FCC1900069</t>
  </si>
  <si>
    <t>73/2019</t>
  </si>
  <si>
    <t>FCC1900070</t>
  </si>
  <si>
    <t>007</t>
  </si>
  <si>
    <t>FCC1900071</t>
  </si>
  <si>
    <t>2019051</t>
  </si>
  <si>
    <t>FCC1900072</t>
  </si>
  <si>
    <t>19A6234</t>
  </si>
  <si>
    <t>FCC1900073</t>
  </si>
  <si>
    <t>2019022</t>
  </si>
  <si>
    <t>FCC1900074</t>
  </si>
  <si>
    <t>201900002</t>
  </si>
  <si>
    <t>FCC1900075</t>
  </si>
  <si>
    <t>A 6</t>
  </si>
  <si>
    <t>FCC1900076</t>
  </si>
  <si>
    <t>VB/2019/000013</t>
  </si>
  <si>
    <t>FCC1900077</t>
  </si>
  <si>
    <t>19-S-285</t>
  </si>
  <si>
    <t>FCC1900078</t>
  </si>
  <si>
    <t>19065</t>
  </si>
  <si>
    <t>FCC1900079</t>
  </si>
  <si>
    <t>21190130030013474</t>
  </si>
  <si>
    <t>FCC1900080</t>
  </si>
  <si>
    <t>21190130030000042</t>
  </si>
  <si>
    <t>FCC1900081</t>
  </si>
  <si>
    <t>21190130030000040</t>
  </si>
  <si>
    <t>FCC1900082</t>
  </si>
  <si>
    <t>21190130030000041</t>
  </si>
  <si>
    <t>FCC1900083</t>
  </si>
  <si>
    <t>5189744</t>
  </si>
  <si>
    <t>FCC1900084</t>
  </si>
  <si>
    <t>5189323</t>
  </si>
  <si>
    <t>FCC1900085</t>
  </si>
  <si>
    <t>19026</t>
  </si>
  <si>
    <t>FCC1900086</t>
  </si>
  <si>
    <t>SO-190201</t>
  </si>
  <si>
    <t>FCC1900087</t>
  </si>
  <si>
    <t>7250149306</t>
  </si>
  <si>
    <t>FCC1900088</t>
  </si>
  <si>
    <t>7250149305</t>
  </si>
  <si>
    <t>FCC1900089</t>
  </si>
  <si>
    <t>SO-190429</t>
  </si>
  <si>
    <t>FCC1900090</t>
  </si>
  <si>
    <t>FCC1900091</t>
  </si>
  <si>
    <t>2019/0002254</t>
  </si>
  <si>
    <t>FCC1900092</t>
  </si>
  <si>
    <t>2019/0000330</t>
  </si>
  <si>
    <t>FCC1900093</t>
  </si>
  <si>
    <t>2019/0000329</t>
  </si>
  <si>
    <t>FCC1900094</t>
  </si>
  <si>
    <t>2019/0001739</t>
  </si>
  <si>
    <t>FCC1900095</t>
  </si>
  <si>
    <t>20190050</t>
  </si>
  <si>
    <t>FCC1900096</t>
  </si>
  <si>
    <t>02/2019</t>
  </si>
  <si>
    <t>FCC1900097</t>
  </si>
  <si>
    <t>004/2019</t>
  </si>
  <si>
    <t>FCC1900098</t>
  </si>
  <si>
    <t>1902C00418367</t>
  </si>
  <si>
    <t>FCC1900099</t>
  </si>
  <si>
    <t>2019/1</t>
  </si>
  <si>
    <t>FCC1900100</t>
  </si>
  <si>
    <t>159/19</t>
  </si>
  <si>
    <t>FCC1900101</t>
  </si>
  <si>
    <t>B/1819882</t>
  </si>
  <si>
    <t>FCC1900102</t>
  </si>
  <si>
    <t>A-0000020</t>
  </si>
  <si>
    <t>FCC1900103</t>
  </si>
  <si>
    <t>12019/009145</t>
  </si>
  <si>
    <t>FCC1900104</t>
  </si>
  <si>
    <t>00003055</t>
  </si>
  <si>
    <t>FCC1900105</t>
  </si>
  <si>
    <t>381</t>
  </si>
  <si>
    <t>FCC1900106</t>
  </si>
  <si>
    <t>1901C00441561</t>
  </si>
  <si>
    <t>FCC1900107</t>
  </si>
  <si>
    <t>DW3945</t>
  </si>
  <si>
    <t>FCC1900108</t>
  </si>
  <si>
    <t>FLG A7A19267</t>
  </si>
  <si>
    <t>FCC1900109</t>
  </si>
  <si>
    <t>FLG A7A25526</t>
  </si>
  <si>
    <t>FCC1900110</t>
  </si>
  <si>
    <t>HA-4049</t>
  </si>
  <si>
    <t>FCC1900115</t>
  </si>
  <si>
    <t>3/2019</t>
  </si>
  <si>
    <t>FCC1900116</t>
  </si>
  <si>
    <t>17/2019</t>
  </si>
  <si>
    <t>FCC1900117</t>
  </si>
  <si>
    <t>20/2019</t>
  </si>
  <si>
    <t>FCC1900123</t>
  </si>
  <si>
    <t>4</t>
  </si>
  <si>
    <t>FCC1900125</t>
  </si>
  <si>
    <t>001379</t>
  </si>
  <si>
    <t>FCC1900128</t>
  </si>
  <si>
    <t>A 23</t>
  </si>
  <si>
    <t>FCC1900129</t>
  </si>
  <si>
    <t>A 16</t>
  </si>
  <si>
    <t>FCC1900130</t>
  </si>
  <si>
    <t>01866</t>
  </si>
  <si>
    <t>FCC1900131</t>
  </si>
  <si>
    <t>A 19</t>
  </si>
  <si>
    <t>FCC1900132</t>
  </si>
  <si>
    <t>A 18</t>
  </si>
  <si>
    <t>FCC1900133</t>
  </si>
  <si>
    <t>A 17</t>
  </si>
  <si>
    <t>FCC1900137</t>
  </si>
  <si>
    <t>21190130030000053</t>
  </si>
  <si>
    <t>FCC1900138</t>
  </si>
  <si>
    <t>3900264</t>
  </si>
  <si>
    <t>FCC1900139</t>
  </si>
  <si>
    <t>190.419</t>
  </si>
  <si>
    <t>FCC1900140</t>
  </si>
  <si>
    <t>004/2019-e</t>
  </si>
  <si>
    <t>FCC1900141</t>
  </si>
  <si>
    <t>028/19/gip</t>
  </si>
  <si>
    <t>FCC1900142</t>
  </si>
  <si>
    <t>FLL A7A08462</t>
  </si>
  <si>
    <t>FCC1900144</t>
  </si>
  <si>
    <t>172/2019</t>
  </si>
  <si>
    <t>FCC1900146</t>
  </si>
  <si>
    <t>190.418</t>
  </si>
  <si>
    <t>FCC1900147</t>
  </si>
  <si>
    <t>19/008</t>
  </si>
  <si>
    <t>FCC1900148</t>
  </si>
  <si>
    <t>190105</t>
  </si>
  <si>
    <t>FCC1900149</t>
  </si>
  <si>
    <t>190.333</t>
  </si>
  <si>
    <t>FCC1900150</t>
  </si>
  <si>
    <t>20190095</t>
  </si>
  <si>
    <t>FCC1900152</t>
  </si>
  <si>
    <t>2019000006</t>
  </si>
  <si>
    <t>FCC1900156</t>
  </si>
  <si>
    <t>0002249</t>
  </si>
  <si>
    <t>FCC1900157</t>
  </si>
  <si>
    <t>0002250</t>
  </si>
  <si>
    <t>FCC1900158</t>
  </si>
  <si>
    <t>SUFN/1901161</t>
  </si>
  <si>
    <t>FCC1900159</t>
  </si>
  <si>
    <t>3901444</t>
  </si>
  <si>
    <t>FCC1900161</t>
  </si>
  <si>
    <t>A-1185</t>
  </si>
  <si>
    <t>FCC1900162</t>
  </si>
  <si>
    <t>071</t>
  </si>
  <si>
    <t>FCC1900164</t>
  </si>
  <si>
    <t>19274</t>
  </si>
  <si>
    <t>FCC1900169</t>
  </si>
  <si>
    <t>PO-190029</t>
  </si>
  <si>
    <t>FCC1900170</t>
  </si>
  <si>
    <t>19/A-019</t>
  </si>
  <si>
    <t>FCC1900171</t>
  </si>
  <si>
    <t>19/A-004</t>
  </si>
  <si>
    <t>FCC1900172</t>
  </si>
  <si>
    <t>2019065</t>
  </si>
  <si>
    <t>FCC1900175</t>
  </si>
  <si>
    <t>FSBR19-00152</t>
  </si>
  <si>
    <t>FCC1900176</t>
  </si>
  <si>
    <t>fa142058</t>
  </si>
  <si>
    <t>FCC1900178</t>
  </si>
  <si>
    <t>21190227030004747</t>
  </si>
  <si>
    <t>FCC1900179</t>
  </si>
  <si>
    <t>09190227030005661</t>
  </si>
  <si>
    <t>FCC1900180</t>
  </si>
  <si>
    <t>19097</t>
  </si>
  <si>
    <t>FCC1900181</t>
  </si>
  <si>
    <t>237/2019</t>
  </si>
  <si>
    <t>FCC1900182</t>
  </si>
  <si>
    <t>9/2019</t>
  </si>
  <si>
    <t>FCC1900186</t>
  </si>
  <si>
    <t>21190227030008649</t>
  </si>
  <si>
    <t>FCC1900187</t>
  </si>
  <si>
    <t>21190227030013857</t>
  </si>
  <si>
    <t>FCC1900188</t>
  </si>
  <si>
    <t>21190227030013859</t>
  </si>
  <si>
    <t>FCC1900189</t>
  </si>
  <si>
    <t>21190227030013858</t>
  </si>
  <si>
    <t>FCC1900195</t>
  </si>
  <si>
    <t>21190130030000043</t>
  </si>
  <si>
    <t>FCC1900196</t>
  </si>
  <si>
    <t>FLG A7A98990</t>
  </si>
  <si>
    <t>FCC1900197</t>
  </si>
  <si>
    <t>FLG A7A73904</t>
  </si>
  <si>
    <t>FCC1900198</t>
  </si>
  <si>
    <t>FLG A7B22442</t>
  </si>
  <si>
    <t>FCC1900199</t>
  </si>
  <si>
    <t>FLG A7B31925</t>
  </si>
  <si>
    <t>FCC1900200</t>
  </si>
  <si>
    <t>FLL A7B55721</t>
  </si>
  <si>
    <t>FCC1900201</t>
  </si>
  <si>
    <t>FLL A7A59905</t>
  </si>
  <si>
    <t>FCC1900202</t>
  </si>
  <si>
    <t>21190227030000020</t>
  </si>
  <si>
    <t>FCC1900203</t>
  </si>
  <si>
    <t>1903C00396892</t>
  </si>
  <si>
    <t>FCC1900205</t>
  </si>
  <si>
    <t>52139</t>
  </si>
  <si>
    <t>FCC1900206</t>
  </si>
  <si>
    <t>HOS/974083</t>
  </si>
  <si>
    <t>FCC1900207</t>
  </si>
  <si>
    <t>TA5ZJ0063273</t>
  </si>
  <si>
    <t>FCC1900208</t>
  </si>
  <si>
    <t>TA6290062968</t>
  </si>
  <si>
    <t>FCC1900209</t>
  </si>
  <si>
    <t>TA6550062547</t>
  </si>
  <si>
    <t>FCC1900210</t>
  </si>
  <si>
    <t>19093</t>
  </si>
  <si>
    <t>FCC1900214</t>
  </si>
  <si>
    <t>2019/0004653</t>
  </si>
  <si>
    <t>FCC1900215</t>
  </si>
  <si>
    <t>5194008</t>
  </si>
  <si>
    <t>FCC1900222</t>
  </si>
  <si>
    <t>5192857</t>
  </si>
  <si>
    <t>FCC1900224</t>
  </si>
  <si>
    <t>19-S-713</t>
  </si>
  <si>
    <t>FCC1900225</t>
  </si>
  <si>
    <t>19131</t>
  </si>
  <si>
    <t>FCC1900226</t>
  </si>
  <si>
    <t>21190227030010218</t>
  </si>
  <si>
    <t>FCC1900227</t>
  </si>
  <si>
    <t>5194009</t>
  </si>
  <si>
    <t>FCC1900240</t>
  </si>
  <si>
    <t>190148</t>
  </si>
  <si>
    <t>FCC1900252</t>
  </si>
  <si>
    <t>B/1826873</t>
  </si>
  <si>
    <t>FCC1900253</t>
  </si>
  <si>
    <t>B/1827304</t>
  </si>
  <si>
    <t>FCC1900254</t>
  </si>
  <si>
    <t>B/1832072</t>
  </si>
  <si>
    <t>FCC1900255</t>
  </si>
  <si>
    <t>B/1834151</t>
  </si>
  <si>
    <t>FCC1900256</t>
  </si>
  <si>
    <t>B/1835365</t>
  </si>
  <si>
    <t>FCC1900257</t>
  </si>
  <si>
    <t>B/1850267</t>
  </si>
  <si>
    <t>FCC1900258</t>
  </si>
  <si>
    <t>B/1867624</t>
  </si>
  <si>
    <t>FCC1900260</t>
  </si>
  <si>
    <t>E03007DFDO</t>
  </si>
  <si>
    <t>FCC1900261</t>
  </si>
  <si>
    <t>E03007DDRI</t>
  </si>
  <si>
    <t>FCC1900262</t>
  </si>
  <si>
    <t>E03007KTVX</t>
  </si>
  <si>
    <t>FCC1900263</t>
  </si>
  <si>
    <t>E03007KTVY</t>
  </si>
  <si>
    <t>FCC1900264</t>
  </si>
  <si>
    <t>E03007SFER</t>
  </si>
  <si>
    <t>FCC1900265</t>
  </si>
  <si>
    <t>E03007T5FA</t>
  </si>
  <si>
    <t>FCC1900276</t>
  </si>
  <si>
    <t>28-C9M0-076621</t>
  </si>
  <si>
    <t>FCC1900278</t>
  </si>
  <si>
    <t>28-A9M0-013273</t>
  </si>
  <si>
    <t>FCC1900279</t>
  </si>
  <si>
    <t>28-B9M0-023446</t>
  </si>
  <si>
    <t>FCC1900287</t>
  </si>
  <si>
    <t>01T2R8E</t>
  </si>
  <si>
    <t>FCC1900288</t>
  </si>
  <si>
    <t>01T2R8D</t>
  </si>
  <si>
    <t>FCC1900289</t>
  </si>
  <si>
    <t>01T2FQI</t>
  </si>
  <si>
    <t>FCC1900290</t>
  </si>
  <si>
    <t>01SUD70</t>
  </si>
  <si>
    <t>FCC1900291</t>
  </si>
  <si>
    <t>01SUD6Z</t>
  </si>
  <si>
    <t>FCC1900292</t>
  </si>
  <si>
    <t>01SUD6Y</t>
  </si>
  <si>
    <t>FCC1900293</t>
  </si>
  <si>
    <t>01SUD6X</t>
  </si>
  <si>
    <t>FCC1900294</t>
  </si>
  <si>
    <t>01T2R8F</t>
  </si>
  <si>
    <t>FCC1900295</t>
  </si>
  <si>
    <t>01T2R8G</t>
  </si>
  <si>
    <t>FCC1900296</t>
  </si>
  <si>
    <t>01TALH1</t>
  </si>
  <si>
    <t>FCC1900297</t>
  </si>
  <si>
    <t>01TAVNL</t>
  </si>
  <si>
    <t>FCC1900298</t>
  </si>
  <si>
    <t>01STZ01</t>
  </si>
  <si>
    <t>FCC1900313</t>
  </si>
  <si>
    <t>001/19/GIP</t>
  </si>
  <si>
    <t>FCC1900314</t>
  </si>
  <si>
    <t>2794504</t>
  </si>
  <si>
    <t>FCC1900315</t>
  </si>
  <si>
    <t>19136</t>
  </si>
  <si>
    <t>FCC1900321</t>
  </si>
  <si>
    <t>1576-2018</t>
  </si>
  <si>
    <t>FCC1900338</t>
  </si>
  <si>
    <t>FSBR19-00107</t>
  </si>
  <si>
    <t>FCC1900339</t>
  </si>
  <si>
    <t>FSBR19-00106</t>
  </si>
  <si>
    <t>FCC1900341</t>
  </si>
  <si>
    <t>194173</t>
  </si>
  <si>
    <t>FCC1900347</t>
  </si>
  <si>
    <t>SO-190202</t>
  </si>
  <si>
    <t>FCC1900348</t>
  </si>
  <si>
    <t>190.640</t>
  </si>
  <si>
    <t>FCC1900134</t>
  </si>
  <si>
    <t>FCC1900153</t>
  </si>
  <si>
    <t>CONTRATO 292</t>
  </si>
  <si>
    <t>FCC1900154</t>
  </si>
  <si>
    <t>7250150357</t>
  </si>
  <si>
    <t>FCC1900155</t>
  </si>
  <si>
    <t>7250150358</t>
  </si>
  <si>
    <t>FCC1900160</t>
  </si>
  <si>
    <t>C19-04564-R</t>
  </si>
  <si>
    <t>FCC1900163</t>
  </si>
  <si>
    <t>110</t>
  </si>
  <si>
    <t>FCC1900168</t>
  </si>
  <si>
    <t>A07/2019</t>
  </si>
  <si>
    <t>FCC1900183</t>
  </si>
  <si>
    <t>G-14942</t>
  </si>
  <si>
    <t>FCC1900184</t>
  </si>
  <si>
    <t>F0036</t>
  </si>
  <si>
    <t>FCC1900185</t>
  </si>
  <si>
    <t>19/A-017</t>
  </si>
  <si>
    <t>FCC1900192</t>
  </si>
  <si>
    <t>0161903fv0189</t>
  </si>
  <si>
    <t>FCC1900193</t>
  </si>
  <si>
    <t>19/A-005</t>
  </si>
  <si>
    <t>FCC1900194</t>
  </si>
  <si>
    <t>19/A-008</t>
  </si>
  <si>
    <t>FCC1900216</t>
  </si>
  <si>
    <t>2100523</t>
  </si>
  <si>
    <t>FCC1900221</t>
  </si>
  <si>
    <t>FP/20190193</t>
  </si>
  <si>
    <t>FCC1900237</t>
  </si>
  <si>
    <t>21190328030000048</t>
  </si>
  <si>
    <t>FCC1900245</t>
  </si>
  <si>
    <t>19161</t>
  </si>
  <si>
    <t>FCC1900266</t>
  </si>
  <si>
    <t>21190328030000050</t>
  </si>
  <si>
    <t>FCC1900267</t>
  </si>
  <si>
    <t>21190328030000065</t>
  </si>
  <si>
    <t>FCC1900280</t>
  </si>
  <si>
    <t>19-S-1.161</t>
  </si>
  <si>
    <t>FCC1900281</t>
  </si>
  <si>
    <t>19199</t>
  </si>
  <si>
    <t>FCC1900283</t>
  </si>
  <si>
    <t>21190328030013712</t>
  </si>
  <si>
    <t>FCC1900284</t>
  </si>
  <si>
    <t>21190328030000049</t>
  </si>
  <si>
    <t>FCC1900285</t>
  </si>
  <si>
    <t>21190328030000047</t>
  </si>
  <si>
    <t>FCC1900302</t>
  </si>
  <si>
    <t>19165</t>
  </si>
  <si>
    <t>FCC1900304</t>
  </si>
  <si>
    <t>09190328030005761</t>
  </si>
  <si>
    <t>FCC1900305</t>
  </si>
  <si>
    <t>21190328030006731</t>
  </si>
  <si>
    <t>FCC1900306</t>
  </si>
  <si>
    <t>21190328030011498</t>
  </si>
  <si>
    <t>FCC1900307</t>
  </si>
  <si>
    <t>21190328030017999</t>
  </si>
  <si>
    <t>FCC1900308</t>
  </si>
  <si>
    <t>21190328030018000</t>
  </si>
  <si>
    <t>FCC1900309</t>
  </si>
  <si>
    <t>21190328030018001</t>
  </si>
  <si>
    <t>FCC1900318</t>
  </si>
  <si>
    <t>190546</t>
  </si>
  <si>
    <t>FCC1900344</t>
  </si>
  <si>
    <t>19217</t>
  </si>
  <si>
    <t>FCC1900204</t>
  </si>
  <si>
    <t>19-000.061</t>
  </si>
  <si>
    <t>FCC1900211</t>
  </si>
  <si>
    <t>2100655</t>
  </si>
  <si>
    <t>FCC1900217</t>
  </si>
  <si>
    <t>20190099</t>
  </si>
  <si>
    <t>FCC1900218</t>
  </si>
  <si>
    <t>20190136</t>
  </si>
  <si>
    <t>FCC1900219</t>
  </si>
  <si>
    <t>20190128</t>
  </si>
  <si>
    <t>FCC1900220</t>
  </si>
  <si>
    <t>7000047002</t>
  </si>
  <si>
    <t>FCC1900223</t>
  </si>
  <si>
    <t>7250151380</t>
  </si>
  <si>
    <t>FCC1900228</t>
  </si>
  <si>
    <t>7250151381</t>
  </si>
  <si>
    <t>FCC1900229</t>
  </si>
  <si>
    <t>2019/033/029</t>
  </si>
  <si>
    <t>FCC1900235</t>
  </si>
  <si>
    <t>201/19</t>
  </si>
  <si>
    <t>FCC1900239</t>
  </si>
  <si>
    <t>06/2019</t>
  </si>
  <si>
    <t>FCC1900241</t>
  </si>
  <si>
    <t>A-19.108</t>
  </si>
  <si>
    <t>FCC1900242</t>
  </si>
  <si>
    <t>F0004-2019</t>
  </si>
  <si>
    <t>FCC1900243</t>
  </si>
  <si>
    <t>A-19.102</t>
  </si>
  <si>
    <t>FCC1900244</t>
  </si>
  <si>
    <t>118/19/GIP</t>
  </si>
  <si>
    <t>FCC1900246</t>
  </si>
  <si>
    <t>01870</t>
  </si>
  <si>
    <t>FCC1900247</t>
  </si>
  <si>
    <t>A 41</t>
  </si>
  <si>
    <t>FCC1900248</t>
  </si>
  <si>
    <t>A 40</t>
  </si>
  <si>
    <t>FCC1900272</t>
  </si>
  <si>
    <t>3902337</t>
  </si>
  <si>
    <t>FCC1900273</t>
  </si>
  <si>
    <t>191.033</t>
  </si>
  <si>
    <t>FCC1900274</t>
  </si>
  <si>
    <t>A/001066</t>
  </si>
  <si>
    <t>FCC1900275</t>
  </si>
  <si>
    <t>00 00000069</t>
  </si>
  <si>
    <t>FCC1900286</t>
  </si>
  <si>
    <t>00 00000078</t>
  </si>
  <si>
    <t>FCC1900299</t>
  </si>
  <si>
    <t>19/A-006</t>
  </si>
  <si>
    <t>FCC1900300</t>
  </si>
  <si>
    <t>19/A-018</t>
  </si>
  <si>
    <t>FCC1900303</t>
  </si>
  <si>
    <t>SI2019007667</t>
  </si>
  <si>
    <t>FCC1900317</t>
  </si>
  <si>
    <t>G-14873</t>
  </si>
  <si>
    <t>FCC1900319</t>
  </si>
  <si>
    <t>0301903FV0151</t>
  </si>
  <si>
    <t>FCC1900320</t>
  </si>
  <si>
    <t>00 00000070</t>
  </si>
  <si>
    <t>FCC1900322</t>
  </si>
  <si>
    <t>0321903fv0001</t>
  </si>
  <si>
    <t>FCC1900323</t>
  </si>
  <si>
    <t>19010204</t>
  </si>
  <si>
    <t>FCC1900324</t>
  </si>
  <si>
    <t>19010200</t>
  </si>
  <si>
    <t>FCC1900325</t>
  </si>
  <si>
    <t>19010201</t>
  </si>
  <si>
    <t>FCC1900326</t>
  </si>
  <si>
    <t>19010202</t>
  </si>
  <si>
    <t>FCC1900327</t>
  </si>
  <si>
    <t>19010203</t>
  </si>
  <si>
    <t>FCC1900328</t>
  </si>
  <si>
    <t>19010205</t>
  </si>
  <si>
    <t>FCC1900329</t>
  </si>
  <si>
    <t>19010206</t>
  </si>
  <si>
    <t>FCC1900330</t>
  </si>
  <si>
    <t>19010207</t>
  </si>
  <si>
    <t>FCC1900331</t>
  </si>
  <si>
    <t>19010208</t>
  </si>
  <si>
    <t>FCC1900332</t>
  </si>
  <si>
    <t>19010210</t>
  </si>
  <si>
    <t>FCC1900333</t>
  </si>
  <si>
    <t>19010209</t>
  </si>
  <si>
    <t>FCC1900334</t>
  </si>
  <si>
    <t>A-19.113</t>
  </si>
  <si>
    <t>FCC1900336</t>
  </si>
  <si>
    <t>PO-190070</t>
  </si>
  <si>
    <t>FCC1900337</t>
  </si>
  <si>
    <t>19-000.125</t>
  </si>
  <si>
    <t>FCC1900340</t>
  </si>
  <si>
    <t>6</t>
  </si>
  <si>
    <t>FCC1900342</t>
  </si>
  <si>
    <t>19/026</t>
  </si>
  <si>
    <t>FCC1900343</t>
  </si>
  <si>
    <t>191.032</t>
  </si>
  <si>
    <t>FCC1900345</t>
  </si>
  <si>
    <t>B/37378</t>
  </si>
  <si>
    <t>FCC1900349</t>
  </si>
  <si>
    <t>07-2019</t>
  </si>
  <si>
    <t>FCC1900354</t>
  </si>
  <si>
    <t>37/2019</t>
  </si>
  <si>
    <t>FCC1900355</t>
  </si>
  <si>
    <t>190893</t>
  </si>
  <si>
    <t>FCC1900356</t>
  </si>
  <si>
    <t>00003100</t>
  </si>
  <si>
    <t>Las que se quedan sin pagar en el trimestre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</si>
</sst>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/>
    </xf>
    <xf numFmtId="4" fontId="4" fillId="38" borderId="30" xfId="0" applyNumberFormat="1" applyFont="1" applyFill="1" applyBorder="1" applyAlignment="1">
      <alignment/>
    </xf>
    <xf numFmtId="4" fontId="4" fillId="38" borderId="31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4" fontId="4" fillId="38" borderId="33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2" fillId="0" borderId="34" xfId="0" applyNumberFormat="1" applyFont="1" applyBorder="1" applyAlignment="1">
      <alignment/>
    </xf>
    <xf numFmtId="3" fontId="4" fillId="38" borderId="35" xfId="0" applyNumberFormat="1" applyFont="1" applyFill="1" applyBorder="1" applyAlignment="1">
      <alignment/>
    </xf>
    <xf numFmtId="4" fontId="4" fillId="38" borderId="36" xfId="0" applyNumberFormat="1" applyFont="1" applyFill="1" applyBorder="1" applyAlignment="1">
      <alignment/>
    </xf>
    <xf numFmtId="4" fontId="4" fillId="38" borderId="37" xfId="0" applyNumberFormat="1" applyFont="1" applyFill="1" applyBorder="1" applyAlignment="1">
      <alignment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4" fontId="2" fillId="0" borderId="40" xfId="0" applyNumberFormat="1" applyFont="1" applyBorder="1" applyAlignment="1">
      <alignment/>
    </xf>
    <xf numFmtId="4" fontId="4" fillId="38" borderId="32" xfId="0" applyNumberFormat="1" applyFont="1" applyFill="1" applyBorder="1" applyAlignment="1">
      <alignment/>
    </xf>
    <xf numFmtId="4" fontId="4" fillId="38" borderId="41" xfId="0" applyNumberFormat="1" applyFont="1" applyFill="1" applyBorder="1" applyAlignment="1">
      <alignment/>
    </xf>
    <xf numFmtId="2" fontId="2" fillId="0" borderId="40" xfId="0" applyNumberFormat="1" applyFont="1" applyBorder="1" applyAlignment="1">
      <alignment/>
    </xf>
    <xf numFmtId="2" fontId="4" fillId="38" borderId="33" xfId="0" applyNumberFormat="1" applyFont="1" applyFill="1" applyBorder="1" applyAlignment="1">
      <alignment/>
    </xf>
    <xf numFmtId="2" fontId="4" fillId="38" borderId="41" xfId="0" applyNumberFormat="1" applyFont="1" applyFill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4" fontId="4" fillId="38" borderId="40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40" borderId="43" xfId="0" applyNumberFormat="1" applyFont="1" applyFill="1" applyBorder="1" applyAlignment="1">
      <alignment/>
    </xf>
    <xf numFmtId="4" fontId="2" fillId="40" borderId="45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40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17" fillId="0" borderId="0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14" fontId="2" fillId="41" borderId="0" xfId="0" applyNumberFormat="1" applyFont="1" applyFill="1" applyAlignment="1">
      <alignment/>
    </xf>
    <xf numFmtId="0" fontId="4" fillId="37" borderId="38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9" xfId="0" applyFont="1" applyFill="1" applyBorder="1" applyAlignment="1">
      <alignment horizontal="center" wrapText="1"/>
    </xf>
    <xf numFmtId="0" fontId="2" fillId="40" borderId="49" xfId="0" applyFont="1" applyFill="1" applyBorder="1" applyAlignment="1">
      <alignment horizontal="left" vertical="top" wrapText="1"/>
    </xf>
    <xf numFmtId="0" fontId="2" fillId="40" borderId="50" xfId="0" applyFont="1" applyFill="1" applyBorder="1" applyAlignment="1">
      <alignment horizontal="left" vertical="top" wrapText="1"/>
    </xf>
    <xf numFmtId="0" fontId="4" fillId="42" borderId="51" xfId="0" applyFont="1" applyFill="1" applyBorder="1" applyAlignment="1">
      <alignment horizontal="right"/>
    </xf>
    <xf numFmtId="0" fontId="4" fillId="42" borderId="52" xfId="0" applyFont="1" applyFill="1" applyBorder="1" applyAlignment="1">
      <alignment horizontal="right"/>
    </xf>
    <xf numFmtId="0" fontId="4" fillId="42" borderId="53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7" xfId="0" applyFont="1" applyBorder="1" applyAlignment="1">
      <alignment/>
    </xf>
    <xf numFmtId="0" fontId="4" fillId="37" borderId="58" xfId="0" applyFont="1" applyFill="1" applyBorder="1" applyAlignment="1">
      <alignment horizont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" fillId="37" borderId="62" xfId="0" applyFont="1" applyFill="1" applyBorder="1" applyAlignment="1">
      <alignment horizontal="center" wrapText="1"/>
    </xf>
    <xf numFmtId="0" fontId="4" fillId="37" borderId="6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64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4" fillId="38" borderId="66" xfId="0" applyFont="1" applyFill="1" applyBorder="1" applyAlignment="1">
      <alignment horizontal="right"/>
    </xf>
    <xf numFmtId="0" fontId="4" fillId="38" borderId="67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42" borderId="60" xfId="0" applyFont="1" applyFill="1" applyBorder="1" applyAlignment="1">
      <alignment horizontal="right"/>
    </xf>
    <xf numFmtId="0" fontId="4" fillId="42" borderId="33" xfId="0" applyFont="1" applyFill="1" applyBorder="1" applyAlignment="1">
      <alignment horizontal="right"/>
    </xf>
    <xf numFmtId="0" fontId="4" fillId="42" borderId="31" xfId="0" applyFont="1" applyFill="1" applyBorder="1" applyAlignment="1">
      <alignment horizontal="right"/>
    </xf>
    <xf numFmtId="0" fontId="4" fillId="37" borderId="5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 wrapText="1"/>
    </xf>
    <xf numFmtId="0" fontId="4" fillId="37" borderId="70" xfId="0" applyFont="1" applyFill="1" applyBorder="1" applyAlignment="1">
      <alignment horizontal="center"/>
    </xf>
    <xf numFmtId="0" fontId="4" fillId="37" borderId="71" xfId="0" applyFont="1" applyFill="1" applyBorder="1" applyAlignment="1">
      <alignment horizontal="center"/>
    </xf>
    <xf numFmtId="0" fontId="4" fillId="38" borderId="44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7" borderId="38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7" borderId="45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2" borderId="72" xfId="0" applyFont="1" applyFill="1" applyBorder="1" applyAlignment="1">
      <alignment horizontal="right"/>
    </xf>
    <xf numFmtId="0" fontId="4" fillId="42" borderId="73" xfId="0" applyFont="1" applyFill="1" applyBorder="1" applyAlignment="1">
      <alignment horizontal="right"/>
    </xf>
    <xf numFmtId="0" fontId="4" fillId="42" borderId="74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3" borderId="75" xfId="0" applyFont="1" applyFill="1" applyBorder="1" applyAlignment="1">
      <alignment horizontal="center"/>
    </xf>
    <xf numFmtId="0" fontId="12" fillId="43" borderId="68" xfId="0" applyFont="1" applyFill="1" applyBorder="1" applyAlignment="1">
      <alignment horizontal="center"/>
    </xf>
    <xf numFmtId="0" fontId="12" fillId="43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49" fontId="36" fillId="0" borderId="0" xfId="58" applyNumberFormat="1">
      <alignment/>
      <protection/>
    </xf>
    <xf numFmtId="14" fontId="36" fillId="0" borderId="0" xfId="58" applyNumberFormat="1">
      <alignment/>
      <protection/>
    </xf>
    <xf numFmtId="4" fontId="36" fillId="0" borderId="0" xfId="58" applyNumberFormat="1">
      <alignment/>
      <protection/>
    </xf>
    <xf numFmtId="173" fontId="35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2" fontId="53" fillId="0" borderId="0" xfId="0" applyNumberFormat="1" applyFont="1" applyFill="1" applyBorder="1" applyAlignment="1">
      <alignment/>
    </xf>
  </cellXfs>
  <cellStyles count="51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Oharra" xfId="60"/>
    <cellStyle name="Ohar-testua" xfId="61"/>
    <cellStyle name="Ondo" xfId="62"/>
    <cellStyle name="Sarrera" xfId="63"/>
    <cellStyle name="Titulua" xfId="64"/>
  </cellStyles>
  <dxfs count="13"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1">
      <selection activeCell="D93" sqref="D93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75">
        <f>SUMSQ(D27:I27,D39:F40,D59:I59,D72:F72,D82:F83,E91:H91)</f>
        <v>2192480529.0211945</v>
      </c>
      <c r="B1" s="175"/>
    </row>
    <row r="2" spans="1:9" s="43" customFormat="1" ht="15.75" customHeight="1">
      <c r="A2" s="176" t="s">
        <v>11</v>
      </c>
      <c r="B2" s="177"/>
      <c r="C2" s="177"/>
      <c r="D2" s="177"/>
      <c r="E2" s="177"/>
      <c r="F2" s="177"/>
      <c r="G2" s="177"/>
      <c r="H2" s="177"/>
      <c r="I2" s="178"/>
    </row>
    <row r="3" spans="1:9" s="43" customFormat="1" ht="15.75" customHeight="1">
      <c r="A3" s="44"/>
      <c r="B3" s="45"/>
      <c r="C3" s="46" t="s">
        <v>12</v>
      </c>
      <c r="D3" s="179" t="s">
        <v>90</v>
      </c>
      <c r="E3" s="179"/>
      <c r="F3" s="179"/>
      <c r="G3" s="179"/>
      <c r="H3" s="45"/>
      <c r="I3" s="47"/>
    </row>
    <row r="4" spans="1:9" s="43" customFormat="1" ht="15.75" customHeight="1">
      <c r="A4" s="44"/>
      <c r="B4" s="45"/>
      <c r="C4" s="48" t="s">
        <v>13</v>
      </c>
      <c r="D4" s="49">
        <v>2019</v>
      </c>
      <c r="E4" s="50"/>
      <c r="F4" s="45"/>
      <c r="G4" s="45"/>
      <c r="H4" s="45"/>
      <c r="I4" s="47"/>
    </row>
    <row r="5" spans="1:9" s="43" customFormat="1" ht="15.75" customHeight="1">
      <c r="A5" s="51"/>
      <c r="B5" s="52"/>
      <c r="C5" s="53" t="s">
        <v>14</v>
      </c>
      <c r="D5" s="54">
        <v>1</v>
      </c>
      <c r="E5" s="55"/>
      <c r="F5" s="52"/>
      <c r="G5" s="52"/>
      <c r="H5" s="52"/>
      <c r="I5" s="56"/>
    </row>
    <row r="6" spans="1:9" ht="12.75" customHeight="1">
      <c r="A6" s="20"/>
      <c r="B6" s="20"/>
      <c r="C6" s="21"/>
      <c r="D6" s="22"/>
      <c r="E6" s="22"/>
      <c r="F6" s="20"/>
      <c r="G6" s="20"/>
      <c r="H6" s="20"/>
      <c r="I6" s="20"/>
    </row>
    <row r="7" spans="1:9" ht="12.75" customHeight="1">
      <c r="A7" s="20"/>
      <c r="B7" s="20"/>
      <c r="C7" s="21"/>
      <c r="D7" s="22"/>
      <c r="E7" s="22"/>
      <c r="F7" s="20"/>
      <c r="G7" s="20"/>
      <c r="H7" s="20"/>
      <c r="I7" s="20"/>
    </row>
    <row r="9" s="43" customFormat="1" ht="15.75">
      <c r="A9" s="42" t="s">
        <v>67</v>
      </c>
    </row>
    <row r="10" ht="12.75" customHeight="1">
      <c r="A10" s="4"/>
    </row>
    <row r="11" ht="12.75" customHeight="1">
      <c r="A11" s="4"/>
    </row>
    <row r="12" s="19" customFormat="1" ht="13.5" thickBot="1">
      <c r="A12" s="1" t="s">
        <v>15</v>
      </c>
    </row>
    <row r="13" spans="1:9" ht="12.75" customHeight="1">
      <c r="A13" s="147" t="s">
        <v>17</v>
      </c>
      <c r="B13" s="148"/>
      <c r="C13" s="158"/>
      <c r="D13" s="160" t="s">
        <v>18</v>
      </c>
      <c r="E13" s="161"/>
      <c r="F13" s="164" t="s">
        <v>23</v>
      </c>
      <c r="G13" s="165"/>
      <c r="H13" s="165"/>
      <c r="I13" s="166"/>
    </row>
    <row r="14" spans="1:9" ht="12.75" customHeight="1">
      <c r="A14" s="155"/>
      <c r="B14" s="156"/>
      <c r="C14" s="159"/>
      <c r="D14" s="167" t="s">
        <v>19</v>
      </c>
      <c r="E14" s="168"/>
      <c r="F14" s="169" t="s">
        <v>21</v>
      </c>
      <c r="G14" s="170"/>
      <c r="H14" s="170" t="s">
        <v>22</v>
      </c>
      <c r="I14" s="171"/>
    </row>
    <row r="15" spans="1:9" ht="22.5">
      <c r="A15" s="155"/>
      <c r="B15" s="156"/>
      <c r="C15" s="159"/>
      <c r="D15" s="64" t="s">
        <v>20</v>
      </c>
      <c r="E15" s="24" t="s">
        <v>60</v>
      </c>
      <c r="F15" s="61" t="s">
        <v>24</v>
      </c>
      <c r="G15" s="23" t="s">
        <v>25</v>
      </c>
      <c r="H15" s="23" t="s">
        <v>24</v>
      </c>
      <c r="I15" s="75" t="s">
        <v>25</v>
      </c>
    </row>
    <row r="16" spans="1:9" ht="12.75" customHeight="1">
      <c r="A16" s="162" t="s">
        <v>35</v>
      </c>
      <c r="B16" s="163"/>
      <c r="C16" s="163"/>
      <c r="D16" s="65">
        <f>IF(G16+I16=0,0,(D17*(G17+I17)+D18*(G18+I18)+D19*(G19+I19)+D20*(G20+I20)+D21*(G21+I21))/(G16+I16))</f>
        <v>0</v>
      </c>
      <c r="E16" s="66">
        <f>IF(I16=0,0,(E17*I17+E18*I18+E19*I19+E20*I20+E21*I21)/I16)</f>
        <v>0</v>
      </c>
      <c r="F16" s="62">
        <f>SUM(F17:F21)</f>
        <v>202</v>
      </c>
      <c r="G16" s="25">
        <f>SUM(G17:G21)</f>
        <v>126616.34999999992</v>
      </c>
      <c r="H16" s="26">
        <f>SUM(H17:H21)</f>
        <v>0</v>
      </c>
      <c r="I16" s="98">
        <f>SUM(I17:I21)</f>
        <v>0</v>
      </c>
    </row>
    <row r="17" spans="1:9" ht="12.75" customHeight="1">
      <c r="A17" s="99"/>
      <c r="B17" s="100" t="s">
        <v>0</v>
      </c>
      <c r="C17" s="20" t="s">
        <v>26</v>
      </c>
      <c r="D17" s="67">
        <f>IF(F17+H17=0,0,SUMIF(detalle1!S:S,20,detalle1!T:T)/SUMIF(detalle1!S:S,20,detalle1!D:D))</f>
        <v>0</v>
      </c>
      <c r="E17" s="39">
        <f>IF(H17=0,0,SUMIF(detalle1!V:V,220,detalle1!T:T)/SUMIF(detalle1!V:V,220,detalle1!D:D))</f>
        <v>0</v>
      </c>
      <c r="F17" s="40">
        <f>COUNTIF(detalle1!V:V,120)</f>
        <v>10</v>
      </c>
      <c r="G17" s="27">
        <f>SUMIF(detalle1!V:V,120,detalle1!D:D)</f>
        <v>2138.43</v>
      </c>
      <c r="H17" s="28">
        <f>COUNTIF(detalle1!V:V,220)</f>
        <v>0</v>
      </c>
      <c r="I17" s="88">
        <f>SUMIF(detalle1!V:V,220,detalle1!D:D)</f>
        <v>0</v>
      </c>
    </row>
    <row r="18" spans="1:9" ht="12.75" customHeight="1">
      <c r="A18" s="99"/>
      <c r="B18" s="100" t="s">
        <v>1</v>
      </c>
      <c r="C18" s="20" t="s">
        <v>27</v>
      </c>
      <c r="D18" s="67">
        <f>IF(F18+H18=0,0,SUMIF(detalle1!S:S,21,detalle1!T:T)/SUMIF(detalle1!S:S,21,detalle1!D:D))</f>
        <v>0</v>
      </c>
      <c r="E18" s="39">
        <f>IF(H18=0,0,SUMIF(detalle1!V:V,221,detalle1!T:T)/SUMIF(detalle1!V:V,221,detalle1!D:D))</f>
        <v>0</v>
      </c>
      <c r="F18" s="40">
        <f>COUNTIF(detalle1!V:V,121)</f>
        <v>44</v>
      </c>
      <c r="G18" s="27">
        <f>SUMIF(detalle1!V:V,121,detalle1!D:D)</f>
        <v>12773.239999999993</v>
      </c>
      <c r="H18" s="28">
        <f>COUNTIF(detalle1!V:V,221)</f>
        <v>0</v>
      </c>
      <c r="I18" s="88">
        <f>SUMIF(detalle1!V:V,221,detalle1!D:D)</f>
        <v>0</v>
      </c>
    </row>
    <row r="19" spans="1:9" ht="12.75" customHeight="1">
      <c r="A19" s="99"/>
      <c r="B19" s="100" t="s">
        <v>2</v>
      </c>
      <c r="C19" s="20" t="s">
        <v>28</v>
      </c>
      <c r="D19" s="67">
        <f>IF(F19+H19=0,0,SUMIF(detalle1!S:S,22,detalle1!T:T)/SUMIF(detalle1!S:S,22,detalle1!D:D))</f>
        <v>0</v>
      </c>
      <c r="E19" s="39">
        <f>IF(H19=0,0,SUMIF(detalle1!V:V,222,detalle1!T:T)/SUMIF(detalle1!V:V,222,detalle1!D:D))</f>
        <v>0</v>
      </c>
      <c r="F19" s="40">
        <f>COUNTIF(detalle1!V:V,122)</f>
        <v>25</v>
      </c>
      <c r="G19" s="27">
        <f>SUMIF(detalle1!V:V,122,detalle1!D:D)</f>
        <v>10275.299999999997</v>
      </c>
      <c r="H19" s="28">
        <f>COUNTIF(detalle1!V:V,222)</f>
        <v>0</v>
      </c>
      <c r="I19" s="88">
        <f>SUMIF(detalle1!V:V,222,detalle1!D:D)</f>
        <v>0</v>
      </c>
    </row>
    <row r="20" spans="1:9" ht="12.75" customHeight="1">
      <c r="A20" s="99"/>
      <c r="B20" s="100" t="s">
        <v>3</v>
      </c>
      <c r="C20" s="20" t="s">
        <v>29</v>
      </c>
      <c r="D20" s="67">
        <f>IF(F20+H20=0,0,SUMIF(detalle1!S:S,23,detalle1!T:T)/SUMIF(detalle1!S:S,23,detalle1!D:D))</f>
        <v>0</v>
      </c>
      <c r="E20" s="39">
        <f>IF(H20=0,0,SUMIF(detalle1!V:V,223,detalle1!T:T)/SUMIF(detalle1!V:V,223,detalle1!D:D))</f>
        <v>0</v>
      </c>
      <c r="F20" s="40">
        <f>COUNTIF(detalle1!V:V,123)</f>
        <v>0</v>
      </c>
      <c r="G20" s="27">
        <f>SUMIF(detalle1!V:V,123,detalle1!D:D)</f>
        <v>0</v>
      </c>
      <c r="H20" s="28">
        <f>COUNTIF(detalle1!V:V,223)</f>
        <v>0</v>
      </c>
      <c r="I20" s="88">
        <f>SUMIF(detalle1!V:V,223,detalle1!D:D)</f>
        <v>0</v>
      </c>
    </row>
    <row r="21" spans="1:9" ht="12.75" customHeight="1">
      <c r="A21" s="99"/>
      <c r="B21" s="100" t="s">
        <v>4</v>
      </c>
      <c r="C21" s="20" t="s">
        <v>30</v>
      </c>
      <c r="D21" s="67">
        <f>IF(F21+H21=0,0,SUMIF(detalle1!S:S,29,detalle1!T:T)/SUMIF(detalle1!S:S,29,detalle1!D:D))</f>
        <v>0</v>
      </c>
      <c r="E21" s="39">
        <f>IF(H21=0,0,SUMIF(detalle1!V:V,229,detalle1!T:T)/SUMIF(detalle1!V:V,229,detalle1!D:D))</f>
        <v>0</v>
      </c>
      <c r="F21" s="40">
        <f>COUNTIF(detalle1!V:V,129)</f>
        <v>123</v>
      </c>
      <c r="G21" s="27">
        <f>SUMIF(detalle1!V:V,129,detalle1!D:D)</f>
        <v>101429.37999999993</v>
      </c>
      <c r="H21" s="28">
        <f>COUNTIF(detalle1!V:V,229)</f>
        <v>0</v>
      </c>
      <c r="I21" s="88">
        <f>SUMIF(detalle1!V:V,229,detalle1!D:D)</f>
        <v>0</v>
      </c>
    </row>
    <row r="22" spans="1:9" ht="12.75" customHeight="1">
      <c r="A22" s="162" t="s">
        <v>31</v>
      </c>
      <c r="B22" s="163"/>
      <c r="C22" s="163"/>
      <c r="D22" s="65">
        <f aca="true" t="shared" si="0" ref="D22:I22">D23</f>
        <v>0</v>
      </c>
      <c r="E22" s="66">
        <f t="shared" si="0"/>
        <v>0</v>
      </c>
      <c r="F22" s="63">
        <f t="shared" si="0"/>
        <v>1</v>
      </c>
      <c r="G22" s="30">
        <f t="shared" si="0"/>
        <v>125.84</v>
      </c>
      <c r="H22" s="29">
        <f t="shared" si="0"/>
        <v>0</v>
      </c>
      <c r="I22" s="98">
        <f t="shared" si="0"/>
        <v>0</v>
      </c>
    </row>
    <row r="23" spans="1:9" ht="12.75" customHeight="1">
      <c r="A23" s="99"/>
      <c r="B23" s="101" t="s">
        <v>5</v>
      </c>
      <c r="C23" s="102" t="s">
        <v>31</v>
      </c>
      <c r="D23" s="67">
        <f>IF(F23+H23=0,0,SUMIF(detalle1!S:S,69,detalle1!T:T)/SUMIF(detalle1!S:S,69,detalle1!D:D))</f>
        <v>0</v>
      </c>
      <c r="E23" s="39">
        <f>IF(H23=0,0,SUMIF(detalle1!V:V,269,detalle1!T:T)/SUMIF(detalle1!V:V,269,detalle1!D:D))</f>
        <v>0</v>
      </c>
      <c r="F23" s="40">
        <f>COUNTIF(detalle1!V:V,169)</f>
        <v>1</v>
      </c>
      <c r="G23" s="27">
        <f>SUMIF(detalle1!V:V,169,detalle1!D:D)</f>
        <v>125.84</v>
      </c>
      <c r="H23" s="28">
        <f>COUNTIF(detalle1!V:V,269)</f>
        <v>0</v>
      </c>
      <c r="I23" s="88">
        <f>SUMIF(detalle1!V:V,269,detalle1!D:D)</f>
        <v>0</v>
      </c>
    </row>
    <row r="24" spans="1:9" ht="12.75" customHeight="1">
      <c r="A24" s="162" t="s">
        <v>34</v>
      </c>
      <c r="B24" s="163"/>
      <c r="C24" s="163"/>
      <c r="D24" s="65">
        <f aca="true" t="shared" si="1" ref="D24:I24">D25</f>
        <v>0</v>
      </c>
      <c r="E24" s="66">
        <f t="shared" si="1"/>
        <v>0</v>
      </c>
      <c r="F24" s="63">
        <f t="shared" si="1"/>
        <v>0</v>
      </c>
      <c r="G24" s="30">
        <f t="shared" si="1"/>
        <v>0</v>
      </c>
      <c r="H24" s="29">
        <f t="shared" si="1"/>
        <v>0</v>
      </c>
      <c r="I24" s="98">
        <f t="shared" si="1"/>
        <v>0</v>
      </c>
    </row>
    <row r="25" spans="1:9" ht="12.75" customHeight="1">
      <c r="A25" s="99"/>
      <c r="B25" s="143" t="s">
        <v>32</v>
      </c>
      <c r="C25" s="143"/>
      <c r="D25" s="103"/>
      <c r="E25" s="104"/>
      <c r="F25" s="105"/>
      <c r="G25" s="106"/>
      <c r="H25" s="107"/>
      <c r="I25" s="108"/>
    </row>
    <row r="26" spans="1:9" ht="12.75" customHeight="1" thickBot="1">
      <c r="A26" s="145" t="s">
        <v>20</v>
      </c>
      <c r="B26" s="146"/>
      <c r="C26" s="146"/>
      <c r="D26" s="77">
        <f>IF(G26+I26=0,0,(D16*(G16+I16)+D22*(G22+I22)+D24*(G24+I24))/(G26+I26))</f>
        <v>0</v>
      </c>
      <c r="E26" s="78">
        <f>IF(I26=0,0,(E16*I16+E22*I22+E24*I24)/I26)</f>
        <v>0</v>
      </c>
      <c r="F26" s="79">
        <f>F16+F22+F24</f>
        <v>203</v>
      </c>
      <c r="G26" s="80">
        <f>G16+G22+G24</f>
        <v>126742.18999999992</v>
      </c>
      <c r="H26" s="81">
        <f>H16+H22+H24</f>
        <v>0</v>
      </c>
      <c r="I26" s="85">
        <f>I16+I22+I24</f>
        <v>0</v>
      </c>
    </row>
    <row r="27" spans="1:9" ht="12.75" customHeight="1">
      <c r="A27" s="2" t="s">
        <v>33</v>
      </c>
      <c r="D27" s="73">
        <f>IF(SUM(detalle1!D:D)=0,0,SUM(detalle1!T:T)/SUM(detalle1!D:D))-IF(G16+I16+G22+I22=0,0,(D16*(G16+I16)+D22*(G22+I22))/(G16+I16+G22+I22))</f>
        <v>0</v>
      </c>
      <c r="E27" s="73">
        <f>IF(SUMIF(detalle1!V:V,"&gt;199",detalle1!D:D)=0,0,SUMIF(detalle1!V:V,"&gt;199",detalle1!T:T)/SUMIF(detalle1!V:V,"&gt;199",detalle1!D:D))-IF(I16+I22=0,0,(E16*I16+E22*I22)/(I16+I22))</f>
        <v>0</v>
      </c>
      <c r="F27" s="73">
        <f>COUNTIF(detalle1!P:P,"&lt;=30")-F26+F25</f>
        <v>0</v>
      </c>
      <c r="G27" s="73">
        <f>SUMIF(detalle1!P:P,"&lt;=30",detalle1!D:D)-G26+G25</f>
        <v>2.9103830456733704E-11</v>
      </c>
      <c r="H27" s="73">
        <f>COUNTIF(detalle1!P:P,"&gt;30")-H26+H25</f>
        <v>0</v>
      </c>
      <c r="I27" s="73">
        <f>SUMIF(detalle1!P:P,"&gt;30",detalle1!D:D)-I26+I25</f>
        <v>0</v>
      </c>
    </row>
    <row r="28" spans="4:9" ht="12.75" customHeight="1">
      <c r="D28" s="35"/>
      <c r="E28" s="35"/>
      <c r="F28" s="35"/>
      <c r="G28" s="35"/>
      <c r="H28" s="35"/>
      <c r="I28" s="35"/>
    </row>
    <row r="29" spans="4:9" ht="12.75" customHeight="1">
      <c r="D29" s="35"/>
      <c r="E29" s="35"/>
      <c r="F29" s="35"/>
      <c r="G29" s="35"/>
      <c r="H29" s="35"/>
      <c r="I29" s="35"/>
    </row>
    <row r="30" ht="13.5" thickBot="1">
      <c r="A30" s="1" t="s">
        <v>16</v>
      </c>
    </row>
    <row r="31" spans="1:7" ht="12.75" customHeight="1">
      <c r="A31" s="147" t="s">
        <v>36</v>
      </c>
      <c r="B31" s="148"/>
      <c r="C31" s="149"/>
      <c r="D31" s="118" t="s">
        <v>41</v>
      </c>
      <c r="E31" s="119"/>
      <c r="F31" s="119"/>
      <c r="G31" s="120"/>
    </row>
    <row r="32" spans="1:7" ht="21" customHeight="1">
      <c r="A32" s="155"/>
      <c r="B32" s="156"/>
      <c r="C32" s="157"/>
      <c r="D32" s="61" t="s">
        <v>42</v>
      </c>
      <c r="E32" s="23" t="s">
        <v>6</v>
      </c>
      <c r="F32" s="23" t="s">
        <v>25</v>
      </c>
      <c r="G32" s="75" t="s">
        <v>6</v>
      </c>
    </row>
    <row r="33" spans="1:7" ht="12.75" customHeight="1">
      <c r="A33" s="99"/>
      <c r="B33" s="139" t="s">
        <v>37</v>
      </c>
      <c r="C33" s="140"/>
      <c r="D33" s="71">
        <f>COUNTIF(detalle1!P:P,"&lt;=30")+F25</f>
        <v>203</v>
      </c>
      <c r="E33" s="33">
        <f>IF($D$38=0,0,D33*100/$D$38)</f>
        <v>100</v>
      </c>
      <c r="F33" s="33">
        <f>SUMIF(detalle1!P:P,"&lt;=30",detalle1!D:D)+G25</f>
        <v>126742.18999999994</v>
      </c>
      <c r="G33" s="82">
        <f>IF($F$38=0,0,F33*100/$F$38)</f>
        <v>100</v>
      </c>
    </row>
    <row r="34" spans="1:7" ht="12.75" customHeight="1">
      <c r="A34" s="99"/>
      <c r="B34" s="141" t="s">
        <v>38</v>
      </c>
      <c r="C34" s="142"/>
      <c r="D34" s="72">
        <f>COUNTIF(detalle1!P:P,"&lt;=40")-D33+F25+IF(AND(E25&gt;30,E25&lt;=40),H25)</f>
        <v>0</v>
      </c>
      <c r="E34" s="27">
        <f>IF($D$38=0,0,D34*100/$D$38)</f>
        <v>0</v>
      </c>
      <c r="F34" s="27">
        <f>SUMIF(detalle1!P:P,"&lt;=40",detalle1!D:D)-F33+G25+IF(AND(E25&gt;30,E25&lt;=40),I25)</f>
        <v>0</v>
      </c>
      <c r="G34" s="76">
        <f>IF($F$38=0,0,F34*100/$F$38)</f>
        <v>0</v>
      </c>
    </row>
    <row r="35" spans="1:7" ht="12.75" customHeight="1">
      <c r="A35" s="99"/>
      <c r="B35" s="141" t="s">
        <v>39</v>
      </c>
      <c r="C35" s="142"/>
      <c r="D35" s="72">
        <f>COUNTIF(detalle1!P:P,"&lt;=50")-SUM(D33:D34)+F25+IF(E25&lt;=50,H25)</f>
        <v>0</v>
      </c>
      <c r="E35" s="27">
        <f>IF($D$38=0,0,D35*100/$D$38)</f>
        <v>0</v>
      </c>
      <c r="F35" s="27">
        <f>SUMIF(detalle1!P:P,"&lt;=50",detalle1!D:D)-SUM(F33:F34)+G25+IF(E25&lt;=50,I25)</f>
        <v>0</v>
      </c>
      <c r="G35" s="76">
        <f>IF($F$38=0,0,F35*100/$F$38)</f>
        <v>0</v>
      </c>
    </row>
    <row r="36" spans="1:7" ht="12.75" customHeight="1">
      <c r="A36" s="99"/>
      <c r="B36" s="141" t="s">
        <v>38</v>
      </c>
      <c r="C36" s="142"/>
      <c r="D36" s="72">
        <f>COUNTIF(detalle1!P:P,"&lt;=60")-SUM(D33:D35)+F25+IF(E25&lt;=60,H25)</f>
        <v>0</v>
      </c>
      <c r="E36" s="27">
        <f>IF($D$38=0,0,D36*100/$D$38)</f>
        <v>0</v>
      </c>
      <c r="F36" s="27">
        <f>SUMIF(detalle1!P:P,"&lt;=60",detalle1!D:D)-SUM(F33:F35)+G25+IF(E25&lt;=60,I25)</f>
        <v>0</v>
      </c>
      <c r="G36" s="76">
        <f>IF($F$38=0,0,F36*100/$F$38)</f>
        <v>0</v>
      </c>
    </row>
    <row r="37" spans="1:7" ht="12.75" customHeight="1">
      <c r="A37" s="109"/>
      <c r="B37" s="143" t="s">
        <v>40</v>
      </c>
      <c r="C37" s="144"/>
      <c r="D37" s="97">
        <f>COUNTIF(detalle1!P:P,"&gt;60")+IF(E25&gt;60,H25)</f>
        <v>0</v>
      </c>
      <c r="E37" s="27">
        <f>IF($D$38=0,0,D37*100/$D$38)</f>
        <v>0</v>
      </c>
      <c r="F37" s="31">
        <f>SUMIF(detalle1!P:P,"&gt;60",detalle1!D:D)+IF(E25&gt;60,I25)</f>
        <v>0</v>
      </c>
      <c r="G37" s="76">
        <f>IF($F$38=0,0,F37*100/$F$38)</f>
        <v>0</v>
      </c>
    </row>
    <row r="38" spans="1:7" ht="12.75" customHeight="1" thickBot="1">
      <c r="A38" s="172" t="s">
        <v>20</v>
      </c>
      <c r="B38" s="173"/>
      <c r="C38" s="174"/>
      <c r="D38" s="83">
        <f>SUM(D33:D37)</f>
        <v>203</v>
      </c>
      <c r="E38" s="84">
        <f>SUM(E33:E37)</f>
        <v>100</v>
      </c>
      <c r="F38" s="84">
        <f>SUM(F33:F37)</f>
        <v>126742.18999999994</v>
      </c>
      <c r="G38" s="85">
        <f>SUM(G33:G37)</f>
        <v>100</v>
      </c>
    </row>
    <row r="39" spans="1:6" ht="12.75" customHeight="1">
      <c r="A39" s="34"/>
      <c r="B39" s="34"/>
      <c r="C39" s="34"/>
      <c r="D39" s="73">
        <f>COUNT(detalle1!D:D)-D38+F25+H25</f>
        <v>0</v>
      </c>
      <c r="E39" s="73"/>
      <c r="F39" s="73">
        <f>SUM(detalle1!D:D)-F38+G25+I25</f>
        <v>0</v>
      </c>
    </row>
    <row r="40" spans="1:6" ht="12.75" customHeight="1">
      <c r="A40" s="34"/>
      <c r="B40" s="34"/>
      <c r="C40" s="34"/>
      <c r="D40" s="73">
        <f>F26+H26-D38</f>
        <v>0</v>
      </c>
      <c r="E40" s="73"/>
      <c r="F40" s="73">
        <f>G26+I26-F38</f>
        <v>0</v>
      </c>
    </row>
    <row r="41" spans="1:6" ht="12.75" customHeight="1">
      <c r="A41" s="34"/>
      <c r="B41" s="34"/>
      <c r="C41" s="34"/>
      <c r="D41" s="20"/>
      <c r="E41" s="20"/>
      <c r="F41" s="35"/>
    </row>
    <row r="42" s="43" customFormat="1" ht="15.75">
      <c r="A42" s="42" t="s">
        <v>68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47" t="s">
        <v>61</v>
      </c>
      <c r="B45" s="148"/>
      <c r="C45" s="158"/>
      <c r="D45" s="160" t="s">
        <v>18</v>
      </c>
      <c r="E45" s="161"/>
      <c r="F45" s="164" t="s">
        <v>43</v>
      </c>
      <c r="G45" s="165"/>
      <c r="H45" s="165"/>
      <c r="I45" s="166"/>
    </row>
    <row r="46" spans="1:9" ht="12.75" customHeight="1">
      <c r="A46" s="155"/>
      <c r="B46" s="156"/>
      <c r="C46" s="159"/>
      <c r="D46" s="167" t="s">
        <v>19</v>
      </c>
      <c r="E46" s="168"/>
      <c r="F46" s="169" t="s">
        <v>21</v>
      </c>
      <c r="G46" s="170"/>
      <c r="H46" s="170" t="s">
        <v>22</v>
      </c>
      <c r="I46" s="171"/>
    </row>
    <row r="47" spans="1:9" ht="22.5">
      <c r="A47" s="155"/>
      <c r="B47" s="156"/>
      <c r="C47" s="159"/>
      <c r="D47" s="64" t="s">
        <v>20</v>
      </c>
      <c r="E47" s="24" t="s">
        <v>60</v>
      </c>
      <c r="F47" s="61" t="s">
        <v>44</v>
      </c>
      <c r="G47" s="23" t="s">
        <v>25</v>
      </c>
      <c r="H47" s="23" t="s">
        <v>44</v>
      </c>
      <c r="I47" s="75" t="s">
        <v>25</v>
      </c>
    </row>
    <row r="48" spans="1:9" ht="12.75" customHeight="1">
      <c r="A48" s="162" t="s">
        <v>35</v>
      </c>
      <c r="B48" s="163"/>
      <c r="C48" s="163"/>
      <c r="D48" s="65">
        <f>IF(G48+I48=0,0,(D49*(G49+I49)+D50*(G50+I50)+D51*(G51+I51)+D52*(G52+I52)+D53*(G53+I53))/(G48+I48))</f>
        <v>0.017722072552932643</v>
      </c>
      <c r="E48" s="66">
        <f>IF(I48=0,0,(E49*I49+E50*I50+E51*I51+E52*I52+E53*I53)/I48)</f>
        <v>0</v>
      </c>
      <c r="F48" s="62">
        <f>SUM(F49:F53)</f>
        <v>10</v>
      </c>
      <c r="G48" s="25">
        <f>SUM(G49:G53)</f>
        <v>19551.629999999997</v>
      </c>
      <c r="H48" s="26">
        <f>SUM(H49:H53)</f>
        <v>1</v>
      </c>
      <c r="I48" s="98">
        <f>SUM(I49:I53)</f>
        <v>36</v>
      </c>
    </row>
    <row r="49" spans="1:9" ht="12.75" customHeight="1">
      <c r="A49" s="99"/>
      <c r="B49" s="100" t="s">
        <v>0</v>
      </c>
      <c r="C49" s="20" t="s">
        <v>26</v>
      </c>
      <c r="D49" s="67">
        <f>IF(F49+H49=0,0,SUMIF(detalle2!S:S,20,detalle2!T:T)/SUMIF(detalle2!S:S,20,detalle2!D:D))</f>
        <v>0</v>
      </c>
      <c r="E49" s="39">
        <f>IF(H49=0,0,SUMIF(detalle2!V:V,220,detalle2!T:T)/SUMIF(detalle2!V:V,220,detalle2!D:D))</f>
        <v>0</v>
      </c>
      <c r="F49" s="40">
        <f>COUNTIF(detalle2!V:V,120)</f>
        <v>0</v>
      </c>
      <c r="G49" s="27">
        <f>SUMIF(detalle2!V:V,120,detalle2!D:D)</f>
        <v>0</v>
      </c>
      <c r="H49" s="28">
        <f>COUNTIF(detalle2!V:V,220)</f>
        <v>0</v>
      </c>
      <c r="I49" s="88">
        <f>SUMIF(detalle2!V:V,220,detalle2!D:D)</f>
        <v>0</v>
      </c>
    </row>
    <row r="50" spans="1:9" ht="12.75" customHeight="1">
      <c r="A50" s="99"/>
      <c r="B50" s="100" t="s">
        <v>1</v>
      </c>
      <c r="C50" s="20" t="s">
        <v>27</v>
      </c>
      <c r="D50" s="67">
        <f>IF(F50+H50=0,0,SUMIF(detalle2!S:S,21,detalle2!T:T)/SUMIF(detalle2!S:S,21,detalle2!D:D))</f>
        <v>0</v>
      </c>
      <c r="E50" s="39">
        <f>IF(H50=0,0,SUMIF(detalle2!V:V,221,detalle2!T:T)/SUMIF(detalle2!V:V,221,detalle2!D:D))</f>
        <v>0</v>
      </c>
      <c r="F50" s="40">
        <f>COUNTIF(detalle2!V:V,121)</f>
        <v>1</v>
      </c>
      <c r="G50" s="27">
        <f>SUMIF(detalle2!V:V,121,detalle2!D:D)</f>
        <v>2230.96</v>
      </c>
      <c r="H50" s="28">
        <f>COUNTIF(detalle2!V:V,221)</f>
        <v>0</v>
      </c>
      <c r="I50" s="88">
        <f>SUMIF(detalle2!V:V,221,detalle2!D:D)</f>
        <v>0</v>
      </c>
    </row>
    <row r="51" spans="1:9" ht="12.75" customHeight="1">
      <c r="A51" s="99"/>
      <c r="B51" s="100" t="s">
        <v>2</v>
      </c>
      <c r="C51" s="20" t="s">
        <v>28</v>
      </c>
      <c r="D51" s="67">
        <f>IF(F51+H51=0,0,SUMIF(detalle2!S:S,22,detalle2!T:T)/SUMIF(detalle2!S:S,22,detalle2!D:D))</f>
        <v>0</v>
      </c>
      <c r="E51" s="39">
        <f>IF(H51=0,0,SUMIF(detalle2!V:V,222,detalle2!T:T)/SUMIF(detalle2!V:V,222,detalle2!D:D))</f>
        <v>0</v>
      </c>
      <c r="F51" s="40">
        <f>COUNTIF(detalle2!V:V,122)</f>
        <v>0</v>
      </c>
      <c r="G51" s="27">
        <f>SUMIF(detalle2!V:V,122,detalle2!D:D)</f>
        <v>0</v>
      </c>
      <c r="H51" s="28">
        <f>COUNTIF(detalle2!V:V,222)</f>
        <v>0</v>
      </c>
      <c r="I51" s="88">
        <f>SUMIF(detalle2!V:V,222,detalle2!D:D)</f>
        <v>0</v>
      </c>
    </row>
    <row r="52" spans="1:9" ht="12.75" customHeight="1">
      <c r="A52" s="99"/>
      <c r="B52" s="100" t="s">
        <v>3</v>
      </c>
      <c r="C52" s="20" t="s">
        <v>29</v>
      </c>
      <c r="D52" s="67">
        <f>IF(F52+H52=0,0,SUMIF(detalle2!S:S,23,detalle2!T:T)/SUMIF(detalle2!S:S,23,detalle2!D:D))</f>
        <v>0</v>
      </c>
      <c r="E52" s="39">
        <f>IF(H52=0,0,SUMIF(detalle2!V:V,223,detalle2!T:T)/SUMIF(detalle2!V:V,223,detalle2!D:D))</f>
        <v>0</v>
      </c>
      <c r="F52" s="40">
        <f>COUNTIF(detalle2!V:V,123)</f>
        <v>0</v>
      </c>
      <c r="G52" s="27">
        <f>SUMIF(detalle2!V:V,123,detalle2!D:D)</f>
        <v>0</v>
      </c>
      <c r="H52" s="28">
        <f>COUNTIF(detalle2!V:V,223)</f>
        <v>0</v>
      </c>
      <c r="I52" s="88">
        <f>SUMIF(detalle2!V:V,223,detalle2!D:D)</f>
        <v>0</v>
      </c>
    </row>
    <row r="53" spans="1:9" ht="12.75" customHeight="1">
      <c r="A53" s="99"/>
      <c r="B53" s="100" t="s">
        <v>4</v>
      </c>
      <c r="C53" s="20" t="s">
        <v>30</v>
      </c>
      <c r="D53" s="67">
        <v>0.02</v>
      </c>
      <c r="E53" s="39"/>
      <c r="F53" s="40">
        <f>COUNTIF(detalle2!V:V,129)</f>
        <v>9</v>
      </c>
      <c r="G53" s="27">
        <v>17320.67</v>
      </c>
      <c r="H53" s="28">
        <f>COUNTIF(detalle2!V:V,229)</f>
        <v>1</v>
      </c>
      <c r="I53" s="88">
        <f>SUMIF(detalle2!V:V,229,detalle2!D:D)</f>
        <v>36</v>
      </c>
    </row>
    <row r="54" spans="1:9" ht="12.75" customHeight="1">
      <c r="A54" s="162" t="s">
        <v>31</v>
      </c>
      <c r="B54" s="163"/>
      <c r="C54" s="163"/>
      <c r="D54" s="65">
        <f aca="true" t="shared" si="2" ref="D54:I54">D55</f>
        <v>0</v>
      </c>
      <c r="E54" s="66">
        <f t="shared" si="2"/>
        <v>0</v>
      </c>
      <c r="F54" s="63">
        <f t="shared" si="2"/>
        <v>0</v>
      </c>
      <c r="G54" s="30">
        <f t="shared" si="2"/>
        <v>0</v>
      </c>
      <c r="H54" s="29">
        <f t="shared" si="2"/>
        <v>0</v>
      </c>
      <c r="I54" s="98">
        <f t="shared" si="2"/>
        <v>0</v>
      </c>
    </row>
    <row r="55" spans="1:9" ht="12.75" customHeight="1">
      <c r="A55" s="99"/>
      <c r="B55" s="101" t="s">
        <v>5</v>
      </c>
      <c r="C55" s="102" t="s">
        <v>31</v>
      </c>
      <c r="D55" s="67">
        <f>IF(F55+H55=0,0,SUMIF(detalle2!S:S,69,detalle2!T:T)/SUMIF(detalle2!S:S,69,detalle2!D:D))</f>
        <v>0</v>
      </c>
      <c r="E55" s="39">
        <f>IF(H55=0,0,SUMIF(detalle2!V:V,269,detalle2!T:T)/SUMIF(detalle2!V:V,269,detalle2!D:D))</f>
        <v>0</v>
      </c>
      <c r="F55" s="40">
        <f>COUNTIF(detalle2!V:V,169)</f>
        <v>0</v>
      </c>
      <c r="G55" s="27">
        <f>SUMIF(detalle2!V:V,169,detalle2!D:D)</f>
        <v>0</v>
      </c>
      <c r="H55" s="28">
        <f>COUNTIF(detalle2!V:V,269)</f>
        <v>0</v>
      </c>
      <c r="I55" s="88">
        <f>SUMIF(detalle2!V:V,269,detalle2!D:D)</f>
        <v>0</v>
      </c>
    </row>
    <row r="56" spans="1:9" ht="12.75" customHeight="1">
      <c r="A56" s="162" t="s">
        <v>34</v>
      </c>
      <c r="B56" s="163"/>
      <c r="C56" s="163"/>
      <c r="D56" s="65">
        <f aca="true" t="shared" si="3" ref="D56:I56">D57</f>
        <v>0</v>
      </c>
      <c r="E56" s="66">
        <f t="shared" si="3"/>
        <v>0</v>
      </c>
      <c r="F56" s="63">
        <f t="shared" si="3"/>
        <v>0</v>
      </c>
      <c r="G56" s="30">
        <f t="shared" si="3"/>
        <v>0</v>
      </c>
      <c r="H56" s="29">
        <f t="shared" si="3"/>
        <v>0</v>
      </c>
      <c r="I56" s="98">
        <f t="shared" si="3"/>
        <v>0</v>
      </c>
    </row>
    <row r="57" spans="1:9" ht="12.75" customHeight="1">
      <c r="A57" s="99"/>
      <c r="B57" s="143" t="s">
        <v>32</v>
      </c>
      <c r="C57" s="143"/>
      <c r="D57" s="103"/>
      <c r="E57" s="104"/>
      <c r="F57" s="105"/>
      <c r="G57" s="106"/>
      <c r="H57" s="107"/>
      <c r="I57" s="108"/>
    </row>
    <row r="58" spans="1:9" ht="12.75" customHeight="1" thickBot="1">
      <c r="A58" s="145" t="s">
        <v>20</v>
      </c>
      <c r="B58" s="146"/>
      <c r="C58" s="146"/>
      <c r="D58" s="77">
        <f>IF(G58+I58=0,0,(D48*(G48+I48)+D54*(G54+I54)+D56*(G56+I56))/(G58+I58))</f>
        <v>0.017722072552932643</v>
      </c>
      <c r="E58" s="78">
        <f>IF(I58=0,0,(E48*I48+E54*I54+E56*I56)/I58)</f>
        <v>0</v>
      </c>
      <c r="F58" s="79">
        <f>F48+F54+F56</f>
        <v>10</v>
      </c>
      <c r="G58" s="80">
        <f>G48+G54+G56</f>
        <v>19551.629999999997</v>
      </c>
      <c r="H58" s="81">
        <f>H48+H54+H56</f>
        <v>1</v>
      </c>
      <c r="I58" s="85">
        <f>I48+I54+I56</f>
        <v>36</v>
      </c>
    </row>
    <row r="59" spans="1:9" ht="12.75" customHeight="1">
      <c r="A59" s="2" t="s">
        <v>33</v>
      </c>
      <c r="D59" s="186">
        <v>0</v>
      </c>
      <c r="E59" s="73"/>
      <c r="F59" s="73">
        <f>COUNTIF(detalle2!P:P,"&lt;=30")-F58+F57</f>
        <v>0</v>
      </c>
      <c r="G59" s="73"/>
      <c r="H59" s="73"/>
      <c r="I59" s="73"/>
    </row>
    <row r="60" spans="4:9" ht="12.75" customHeight="1">
      <c r="D60" s="35"/>
      <c r="E60" s="112">
        <f>SUMIF(detalle2!V:V,"&gt;199",detalle2!D:D)</f>
        <v>36</v>
      </c>
      <c r="F60" s="35"/>
      <c r="G60" s="35"/>
      <c r="H60" s="35"/>
      <c r="I60" s="35"/>
    </row>
    <row r="63" spans="1:9" s="43" customFormat="1" ht="15.75">
      <c r="A63" s="57" t="s">
        <v>64</v>
      </c>
      <c r="B63" s="58"/>
      <c r="C63" s="58"/>
      <c r="D63" s="58"/>
      <c r="E63" s="58"/>
      <c r="F63" s="58"/>
      <c r="G63" s="58"/>
      <c r="H63" s="58"/>
      <c r="I63" s="58"/>
    </row>
    <row r="64" spans="1:9" ht="12.75" customHeight="1">
      <c r="A64" s="36"/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6"/>
      <c r="B65" s="35"/>
      <c r="C65" s="35"/>
      <c r="D65" s="35"/>
      <c r="E65" s="35"/>
      <c r="F65" s="35"/>
      <c r="G65" s="35"/>
      <c r="H65" s="35"/>
      <c r="I65" s="35"/>
    </row>
    <row r="66" s="19" customFormat="1" ht="13.5" thickBot="1">
      <c r="A66" s="1" t="s">
        <v>63</v>
      </c>
    </row>
    <row r="67" spans="1:7" ht="33.75">
      <c r="A67" s="147" t="s">
        <v>62</v>
      </c>
      <c r="B67" s="148"/>
      <c r="C67" s="149"/>
      <c r="D67" s="86" t="s">
        <v>46</v>
      </c>
      <c r="E67" s="74" t="s">
        <v>47</v>
      </c>
      <c r="F67" s="87" t="s">
        <v>25</v>
      </c>
      <c r="G67" s="37"/>
    </row>
    <row r="68" spans="1:6" ht="12.75" customHeight="1">
      <c r="A68" s="110"/>
      <c r="B68" s="150" t="s">
        <v>35</v>
      </c>
      <c r="C68" s="151"/>
      <c r="D68" s="68">
        <f>IF(E68=0,0,SUMIF(detalle32!T:T,22,detalle32!R:R)/SUMIF(detalle32!T:T,22,detalle32!D:D))</f>
        <v>0</v>
      </c>
      <c r="E68" s="38">
        <f>COUNTIF(detalle32!T:T,22)</f>
        <v>0</v>
      </c>
      <c r="F68" s="88">
        <f>SUMIF(detalle32!T:T,22,detalle32!D:D)</f>
        <v>0</v>
      </c>
    </row>
    <row r="69" spans="1:6" ht="12.75" customHeight="1">
      <c r="A69" s="99"/>
      <c r="B69" s="141" t="s">
        <v>31</v>
      </c>
      <c r="C69" s="142"/>
      <c r="D69" s="68">
        <f>IF(E69=0,0,SUMIF(detalle32!T:T,26,detalle32!R:R)/SUMIF(detalle32!T:T,26,detalle32!D:D))</f>
        <v>0</v>
      </c>
      <c r="E69" s="38">
        <f>COUNTIF(detalle32!T:T,26)</f>
        <v>0</v>
      </c>
      <c r="F69" s="88">
        <f>SUMIF(detalle32!T:T,26,detalle32!D:D)</f>
        <v>0</v>
      </c>
    </row>
    <row r="70" spans="1:6" ht="12.75" customHeight="1">
      <c r="A70" s="109"/>
      <c r="B70" s="143" t="s">
        <v>45</v>
      </c>
      <c r="C70" s="144"/>
      <c r="D70" s="68">
        <f>IF(E70=0,0,SUMIF(detalle32!T:T,29,detalle32!R:R)/SUMIF(detalle32!T:T,29,detalle32!D:D))</f>
        <v>0</v>
      </c>
      <c r="E70" s="38">
        <f>COUNTIF(detalle32!T:T,29)</f>
        <v>0</v>
      </c>
      <c r="F70" s="88">
        <f>SUMIF(detalle32!T:T,29,detalle32!D:D)</f>
        <v>0</v>
      </c>
    </row>
    <row r="71" spans="1:6" ht="12.75" customHeight="1" thickBot="1">
      <c r="A71" s="152" t="s">
        <v>20</v>
      </c>
      <c r="B71" s="153"/>
      <c r="C71" s="154"/>
      <c r="D71" s="89">
        <f>IF(F71=0,0,(D68*F68+D69*F69+D70*F70)/F71)</f>
        <v>0</v>
      </c>
      <c r="E71" s="81">
        <f>SUM(E68:E70)</f>
        <v>0</v>
      </c>
      <c r="F71" s="90">
        <f>SUM(F68:F70)</f>
        <v>0</v>
      </c>
    </row>
    <row r="72" spans="4:6" ht="12.75" customHeight="1">
      <c r="D72" s="73">
        <f>IF(D73=0,0,SUMIF(detalle32!O:O,"&gt;90",detalle32!R:R)/SUMIF(detalle32!O:O,"&gt;90",detalle32!D:D))-IF(D71="",0,D71)</f>
        <v>0</v>
      </c>
      <c r="E72" s="73">
        <f>COUNTIF(detalle32!O:O,"&gt;90")-E71</f>
        <v>0</v>
      </c>
      <c r="F72" s="73">
        <f>SUMIF(detalle32!O:O,"&gt;90",detalle32!D:D)-F71</f>
        <v>0</v>
      </c>
    </row>
    <row r="73" spans="4:6" ht="12.75" customHeight="1">
      <c r="D73" s="112">
        <f>SUMIF(detalle32!O:O,"&gt;90",detalle32!D:D)</f>
        <v>0</v>
      </c>
      <c r="E73" s="35"/>
      <c r="F73" s="35"/>
    </row>
    <row r="74" s="19" customFormat="1" ht="13.5" thickBot="1">
      <c r="A74" s="1" t="s">
        <v>65</v>
      </c>
    </row>
    <row r="75" spans="1:7" ht="12.75" customHeight="1">
      <c r="A75" s="147" t="s">
        <v>66</v>
      </c>
      <c r="B75" s="148"/>
      <c r="C75" s="149"/>
      <c r="D75" s="118" t="s">
        <v>55</v>
      </c>
      <c r="E75" s="119"/>
      <c r="F75" s="119"/>
      <c r="G75" s="120"/>
    </row>
    <row r="76" spans="1:7" ht="22.5">
      <c r="A76" s="155"/>
      <c r="B76" s="156"/>
      <c r="C76" s="157"/>
      <c r="D76" s="61" t="s">
        <v>42</v>
      </c>
      <c r="E76" s="23" t="s">
        <v>6</v>
      </c>
      <c r="F76" s="23" t="s">
        <v>25</v>
      </c>
      <c r="G76" s="75" t="s">
        <v>6</v>
      </c>
    </row>
    <row r="77" spans="1:7" ht="12.75" customHeight="1">
      <c r="A77" s="110"/>
      <c r="B77" s="139" t="s">
        <v>37</v>
      </c>
      <c r="C77" s="140"/>
      <c r="D77" s="40">
        <f>COUNTIF(detalle32!O:O,"&lt;=30")</f>
        <v>50</v>
      </c>
      <c r="E77" s="41">
        <f>IF($D$81=0,0,D77*100/$D$81)</f>
        <v>96.15384615384616</v>
      </c>
      <c r="F77" s="27">
        <f>SUMIF(detalle32!O:O,"&lt;=30",detalle32!D:D)</f>
        <v>46679.409999999996</v>
      </c>
      <c r="G77" s="91">
        <f>IF($F$81=0,0,F77*100/$F$81)</f>
        <v>83.0701499623795</v>
      </c>
    </row>
    <row r="78" spans="1:7" ht="12.75" customHeight="1">
      <c r="A78" s="99"/>
      <c r="B78" s="141" t="s">
        <v>48</v>
      </c>
      <c r="C78" s="142"/>
      <c r="D78" s="40">
        <f>COUNTIF(detalle32!O:O,"&lt;=60")-D77</f>
        <v>1</v>
      </c>
      <c r="E78" s="41">
        <f>IF($D$81=0,0,D78*100/$D$81)</f>
        <v>1.9230769230769231</v>
      </c>
      <c r="F78" s="27">
        <f>SUMIF(detalle32!O:O,"&lt;=60",detalle32!D:D)-F77</f>
        <v>583.5500000000029</v>
      </c>
      <c r="G78" s="91">
        <f>IF($F$81=0,0,F78*100/$F$81)</f>
        <v>1.0384789784306785</v>
      </c>
    </row>
    <row r="79" spans="1:7" ht="12.75" customHeight="1">
      <c r="A79" s="99"/>
      <c r="B79" s="141" t="s">
        <v>49</v>
      </c>
      <c r="C79" s="142"/>
      <c r="D79" s="40">
        <f>COUNTIF(detalle32!O:O,"&lt;=90")-SUM(D77:D78)</f>
        <v>1</v>
      </c>
      <c r="E79" s="41">
        <f>IF($D$81=0,0,D79*100/$D$81)</f>
        <v>1.9230769230769231</v>
      </c>
      <c r="F79" s="27">
        <f>SUMIF(detalle32!O:O,"&lt;=90",detalle32!D:D)-SUM(F77:F78)</f>
        <v>8929.799999999996</v>
      </c>
      <c r="G79" s="91">
        <f>IF($F$81=0,0,F79*100/$F$81)</f>
        <v>15.891371059189824</v>
      </c>
    </row>
    <row r="80" spans="1:7" ht="12.75" customHeight="1">
      <c r="A80" s="99"/>
      <c r="B80" s="143" t="s">
        <v>50</v>
      </c>
      <c r="C80" s="144"/>
      <c r="D80" s="40">
        <f>COUNTIF(detalle32!O:O,"&gt;90")</f>
        <v>0</v>
      </c>
      <c r="E80" s="41">
        <f>IF($D$81=0,0,D80*100/$D$81)</f>
        <v>0</v>
      </c>
      <c r="F80" s="27">
        <f>SUMIF(detalle32!O:O,"&gt;90",detalle32!D:D)</f>
        <v>0</v>
      </c>
      <c r="G80" s="91">
        <f>IF($F$81=0,0,F80*100/$F$81)</f>
        <v>0</v>
      </c>
    </row>
    <row r="81" spans="1:7" ht="12.75" customHeight="1" thickBot="1">
      <c r="A81" s="123" t="s">
        <v>20</v>
      </c>
      <c r="B81" s="124"/>
      <c r="C81" s="125"/>
      <c r="D81" s="79">
        <f>SUM(D77:D80)</f>
        <v>52</v>
      </c>
      <c r="E81" s="92">
        <f>SUM(E77:E80)</f>
        <v>100</v>
      </c>
      <c r="F81" s="80">
        <f>SUM(F77:F80)</f>
        <v>56192.759999999995</v>
      </c>
      <c r="G81" s="93">
        <f>SUM(G77:G80)</f>
        <v>100</v>
      </c>
    </row>
    <row r="82" spans="1:7" ht="12.75" customHeight="1">
      <c r="A82" s="34"/>
      <c r="B82" s="34"/>
      <c r="C82" s="34"/>
      <c r="D82" s="73">
        <f>COUNT(detalle32!D:D)-D81</f>
        <v>0</v>
      </c>
      <c r="E82" s="73"/>
      <c r="F82" s="73">
        <f>SUM(detalle32!D:D)-F81</f>
        <v>0</v>
      </c>
      <c r="G82" s="35"/>
    </row>
    <row r="83" spans="1:7" ht="12.75" customHeight="1">
      <c r="A83" s="34"/>
      <c r="B83" s="34"/>
      <c r="C83" s="34"/>
      <c r="D83" s="73">
        <f>E71-D80</f>
        <v>0</v>
      </c>
      <c r="E83" s="73"/>
      <c r="F83" s="73">
        <f>F71-F80</f>
        <v>0</v>
      </c>
      <c r="G83" s="35"/>
    </row>
    <row r="84" spans="1:7" ht="12.75" customHeight="1">
      <c r="A84" s="34"/>
      <c r="B84" s="34"/>
      <c r="C84" s="34"/>
      <c r="D84" s="20"/>
      <c r="E84" s="20"/>
      <c r="F84" s="35"/>
      <c r="G84" s="35"/>
    </row>
    <row r="85" spans="1:5" s="43" customFormat="1" ht="15.75">
      <c r="A85" s="57" t="s">
        <v>51</v>
      </c>
      <c r="B85" s="59"/>
      <c r="C85" s="59"/>
      <c r="D85" s="60"/>
      <c r="E85" s="60"/>
    </row>
    <row r="86" spans="1:5" ht="12.75" customHeight="1">
      <c r="A86" s="36"/>
      <c r="B86" s="34"/>
      <c r="C86" s="34"/>
      <c r="D86" s="20"/>
      <c r="E86" s="20"/>
    </row>
    <row r="87" ht="12.75" customHeight="1" thickBot="1"/>
    <row r="88" spans="1:8" ht="12.75" customHeight="1">
      <c r="A88" s="126" t="s">
        <v>52</v>
      </c>
      <c r="B88" s="127"/>
      <c r="C88" s="128"/>
      <c r="D88" s="137" t="s">
        <v>58</v>
      </c>
      <c r="E88" s="138"/>
      <c r="F88" s="137" t="s">
        <v>59</v>
      </c>
      <c r="G88" s="138"/>
      <c r="H88" s="132" t="s">
        <v>56</v>
      </c>
    </row>
    <row r="89" spans="1:8" ht="12.75" customHeight="1">
      <c r="A89" s="129"/>
      <c r="B89" s="130"/>
      <c r="C89" s="131"/>
      <c r="D89" s="69" t="s">
        <v>54</v>
      </c>
      <c r="E89" s="70" t="s">
        <v>57</v>
      </c>
      <c r="F89" s="69" t="s">
        <v>54</v>
      </c>
      <c r="G89" s="70" t="s">
        <v>57</v>
      </c>
      <c r="H89" s="133"/>
    </row>
    <row r="90" spans="1:8" ht="12.75" customHeight="1" thickBot="1">
      <c r="A90" s="134" t="str">
        <f>D3</f>
        <v>Oarsoaldea</v>
      </c>
      <c r="B90" s="135"/>
      <c r="C90" s="136"/>
      <c r="D90" s="94">
        <f>IF((SUM(detalle1!D:D)+G24+I24)=0,0,(SUM(detalle1!T:T)+D24*(G24+I24))/(SUM(detalle1!D:D)+G24+I24))</f>
        <v>0</v>
      </c>
      <c r="E90" s="95">
        <f>SUM(detalle1!D:D)+G24+I24</f>
        <v>126742.18999999994</v>
      </c>
      <c r="F90" s="94">
        <f>+D58</f>
        <v>0.017722072552932643</v>
      </c>
      <c r="G90" s="95">
        <f>SUM(detalle2!D:D)+G56+I56</f>
        <v>28956.460000000006</v>
      </c>
      <c r="H90" s="96">
        <f>IF(E90=0,F90,IF(G90=0,D90,(D90*E90+F90*G90)/(E90+G90)))</f>
        <v>0.003295908378114339</v>
      </c>
    </row>
    <row r="91" spans="4:8" ht="12.75" customHeight="1">
      <c r="D91" s="32"/>
      <c r="E91" s="115">
        <f>E90-F38</f>
        <v>0</v>
      </c>
      <c r="F91" s="115"/>
      <c r="G91" s="115">
        <f>G90-G58-I58-F81</f>
        <v>-46823.929999999986</v>
      </c>
      <c r="H91" s="115">
        <f>IF(H92=0,0,(SUM(detalle1!U:U)+SUM(detalle2!U:U)+SUM(detalle32!S:S)+D24*(G24+I24)+D56*(G56+I56))/(SUM(detalle1!D:D)+SUM(detalle2!D:D)+SUM(detalle32!D:D)+G24+I24+G56+I56))-IF(H90="",0,H90)</f>
        <v>-10.410393628856733</v>
      </c>
    </row>
    <row r="92" spans="1:8" ht="12.75" customHeight="1" thickBot="1">
      <c r="A92" s="4" t="s">
        <v>53</v>
      </c>
      <c r="E92" s="35"/>
      <c r="F92" s="35"/>
      <c r="G92" s="35"/>
      <c r="H92" s="111">
        <f>(SUM(detalle1!D:D)+SUM(detalle2!D:D)+SUM(detalle32!D:D)+G24+I24+G56+I56)</f>
        <v>211891.40999999997</v>
      </c>
    </row>
    <row r="93" spans="2:8" ht="43.5" customHeight="1" thickBot="1">
      <c r="B93" s="121"/>
      <c r="C93" s="122"/>
      <c r="E93" s="35"/>
      <c r="F93" s="35"/>
      <c r="G93" s="35"/>
      <c r="H93" s="35"/>
    </row>
  </sheetData>
  <sheetProtection/>
  <mergeCells count="51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B35:C35"/>
    <mergeCell ref="A16:C16"/>
    <mergeCell ref="A22:C22"/>
    <mergeCell ref="A24:C24"/>
    <mergeCell ref="B25:C25"/>
    <mergeCell ref="A26:C26"/>
    <mergeCell ref="A31:C32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45:C47"/>
    <mergeCell ref="D45:E45"/>
    <mergeCell ref="A48:C48"/>
    <mergeCell ref="A54:C54"/>
    <mergeCell ref="A56:C56"/>
    <mergeCell ref="B57:C57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68:D70 D23 D49:D53 D55 D17:D21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16 D22 D24 D48 D56">
    <cfRule type="expression" priority="5" dxfId="2" stopIfTrue="1">
      <formula>F16+H16=0</formula>
    </cfRule>
  </conditionalFormatting>
  <conditionalFormatting sqref="E16 E22 E24 E48 E56">
    <cfRule type="expression" priority="6" dxfId="2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2" stopIfTrue="1">
      <formula>$D$38=0</formula>
    </cfRule>
  </conditionalFormatting>
  <conditionalFormatting sqref="G38">
    <cfRule type="expression" priority="9" dxfId="2" stopIfTrue="1">
      <formula>$F$38=0</formula>
    </cfRule>
  </conditionalFormatting>
  <conditionalFormatting sqref="A1:B1 F59:I59 D39:F40 E91:H91 D72:F72 D82:F83 D27:F27 H27:I27 D90 F90">
    <cfRule type="cellIs" priority="10" dxfId="0" operator="equal" stopIfTrue="1">
      <formula>0</formula>
    </cfRule>
  </conditionalFormatting>
  <conditionalFormatting sqref="D58:E58 D71 D26:E26 D54:E54">
    <cfRule type="cellIs" priority="11" dxfId="2" operator="equal" stopIfTrue="1">
      <formula>0</formula>
    </cfRule>
  </conditionalFormatting>
  <conditionalFormatting sqref="D59:E59">
    <cfRule type="cellIs" priority="12" dxfId="0" operator="between" stopIfTrue="1">
      <formula>-0.001</formula>
      <formula>0.001</formula>
    </cfRule>
  </conditionalFormatting>
  <conditionalFormatting sqref="G27">
    <cfRule type="cellIs" priority="13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55:I55 F23:I23 D23:E23 D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1:V209"/>
  <sheetViews>
    <sheetView zoomScalePageLayoutView="0" workbookViewId="0" topLeftCell="H1">
      <pane ySplit="6" topLeftCell="A7" activePane="bottomLeft" state="frozen"/>
      <selection pane="topLeft" activeCell="F1" sqref="F1"/>
      <selection pane="bottomLeft" activeCell="M2" sqref="M2:N4"/>
    </sheetView>
  </sheetViews>
  <sheetFormatPr defaultColWidth="9.140625" defaultRowHeight="12.75"/>
  <cols>
    <col min="1" max="1" width="13.7109375" style="2" customWidth="1"/>
    <col min="2" max="2" width="10.7109375" style="15" bestFit="1" customWidth="1"/>
    <col min="3" max="3" width="9.140625" style="2" customWidth="1"/>
    <col min="4" max="4" width="11.140625" style="8" bestFit="1" customWidth="1"/>
    <col min="5" max="5" width="7.421875" style="2" bestFit="1" customWidth="1"/>
    <col min="6" max="6" width="11.28125" style="2" customWidth="1"/>
    <col min="7" max="7" width="18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5" bestFit="1" customWidth="1"/>
    <col min="12" max="12" width="9.00390625" style="15" bestFit="1" customWidth="1"/>
    <col min="13" max="13" width="13.57421875" style="15" bestFit="1" customWidth="1"/>
    <col min="14" max="14" width="10.140625" style="15" bestFit="1" customWidth="1"/>
    <col min="15" max="15" width="5.7109375" style="10" bestFit="1" customWidth="1"/>
    <col min="16" max="16" width="6.57421875" style="10" customWidth="1"/>
    <col min="17" max="17" width="5.421875" style="10" customWidth="1"/>
    <col min="18" max="18" width="6.7109375" style="10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16384" width="9.140625" style="2" customWidth="1"/>
  </cols>
  <sheetData>
    <row r="1" spans="1:10" ht="11.25">
      <c r="A1" s="3" t="s">
        <v>69</v>
      </c>
      <c r="B1" s="17"/>
      <c r="C1" s="4"/>
      <c r="D1" s="7"/>
      <c r="E1" s="4"/>
      <c r="F1" s="4"/>
      <c r="G1" s="4"/>
      <c r="H1" s="4"/>
      <c r="I1" s="4"/>
      <c r="J1" s="4"/>
    </row>
    <row r="2" spans="1:14" ht="11.25">
      <c r="A2" s="3"/>
      <c r="B2" s="17"/>
      <c r="C2" s="4"/>
      <c r="D2" s="7"/>
      <c r="E2" s="4"/>
      <c r="F2" s="4"/>
      <c r="G2" s="4"/>
      <c r="H2" s="4"/>
      <c r="I2" s="4"/>
      <c r="J2" s="4"/>
      <c r="M2" s="184"/>
      <c r="N2" s="184"/>
    </row>
    <row r="3" spans="1:14" ht="11.25">
      <c r="A3" s="3"/>
      <c r="B3" s="17"/>
      <c r="C3" s="4"/>
      <c r="D3" s="7"/>
      <c r="E3" s="4"/>
      <c r="F3" s="4"/>
      <c r="G3" s="4"/>
      <c r="H3" s="4"/>
      <c r="I3" s="4"/>
      <c r="J3" s="4"/>
      <c r="M3" s="185"/>
      <c r="N3" s="185"/>
    </row>
    <row r="4" spans="1:14" ht="11.25">
      <c r="A4" s="3"/>
      <c r="B4" s="17"/>
      <c r="C4" s="4"/>
      <c r="D4" s="7"/>
      <c r="E4" s="4"/>
      <c r="F4" s="4"/>
      <c r="G4" s="4"/>
      <c r="H4" s="4"/>
      <c r="I4" s="4"/>
      <c r="J4" s="4"/>
      <c r="M4" s="185"/>
      <c r="N4" s="185"/>
    </row>
    <row r="6" spans="1:22" ht="22.5">
      <c r="A6" s="5" t="s">
        <v>70</v>
      </c>
      <c r="B6" s="18" t="s">
        <v>71</v>
      </c>
      <c r="C6" s="6" t="s">
        <v>72</v>
      </c>
      <c r="D6" s="9" t="s">
        <v>57</v>
      </c>
      <c r="E6" s="5" t="s">
        <v>73</v>
      </c>
      <c r="F6" s="6" t="s">
        <v>74</v>
      </c>
      <c r="G6" s="6" t="s">
        <v>75</v>
      </c>
      <c r="H6" s="6" t="s">
        <v>8</v>
      </c>
      <c r="I6" s="6" t="s">
        <v>9</v>
      </c>
      <c r="J6" s="6" t="s">
        <v>7</v>
      </c>
      <c r="K6" s="16" t="s">
        <v>76</v>
      </c>
      <c r="L6" s="16" t="s">
        <v>77</v>
      </c>
      <c r="M6" s="16" t="s">
        <v>78</v>
      </c>
      <c r="N6" s="16" t="s">
        <v>79</v>
      </c>
      <c r="O6" s="11" t="s">
        <v>80</v>
      </c>
      <c r="P6" s="12" t="s">
        <v>81</v>
      </c>
      <c r="Q6" s="13" t="s">
        <v>82</v>
      </c>
      <c r="R6" s="14" t="s">
        <v>56</v>
      </c>
      <c r="S6" s="2" t="s">
        <v>83</v>
      </c>
      <c r="T6" s="8" t="s">
        <v>84</v>
      </c>
      <c r="U6" s="8" t="s">
        <v>85</v>
      </c>
      <c r="V6" s="2" t="s">
        <v>86</v>
      </c>
    </row>
    <row r="7" spans="1:22" ht="15">
      <c r="A7" s="180" t="s">
        <v>91</v>
      </c>
      <c r="B7" s="181">
        <v>43488</v>
      </c>
      <c r="C7" s="180" t="s">
        <v>92</v>
      </c>
      <c r="D7" s="182">
        <v>1548</v>
      </c>
      <c r="F7" s="180"/>
      <c r="K7" s="181">
        <v>43488</v>
      </c>
      <c r="M7" s="183">
        <f aca="true" t="shared" si="0" ref="M7:M70">+N7</f>
        <v>43488</v>
      </c>
      <c r="N7" s="181">
        <v>43488</v>
      </c>
      <c r="O7" s="10">
        <f>+K7-M7</f>
        <v>0</v>
      </c>
      <c r="P7" s="10">
        <f aca="true" t="shared" si="1" ref="P7:P70">+N7-M7</f>
        <v>0</v>
      </c>
      <c r="Q7" s="10">
        <f>+N7-K7</f>
        <v>0</v>
      </c>
      <c r="R7" s="10">
        <f aca="true" t="shared" si="2" ref="R7:R70">+Q7-30</f>
        <v>-30</v>
      </c>
      <c r="S7" s="2">
        <v>29</v>
      </c>
      <c r="T7" s="8">
        <f aca="true" t="shared" si="3" ref="T7:T70">+P7*D7</f>
        <v>0</v>
      </c>
      <c r="U7" s="8">
        <f aca="true" t="shared" si="4" ref="U7:U70">+R7*D7</f>
        <v>-46440</v>
      </c>
      <c r="V7" s="116">
        <f aca="true" t="shared" si="5" ref="V7:V70">IF(P7&gt;30,200+S7,100+S7)</f>
        <v>129</v>
      </c>
    </row>
    <row r="8" spans="1:22" ht="15">
      <c r="A8" s="180" t="s">
        <v>93</v>
      </c>
      <c r="B8" s="181">
        <v>43496</v>
      </c>
      <c r="C8" s="180" t="s">
        <v>94</v>
      </c>
      <c r="D8" s="182">
        <v>2430</v>
      </c>
      <c r="F8" s="180"/>
      <c r="K8" s="181">
        <v>43496</v>
      </c>
      <c r="M8" s="183">
        <f t="shared" si="0"/>
        <v>43496</v>
      </c>
      <c r="N8" s="181">
        <v>43496</v>
      </c>
      <c r="O8" s="10">
        <f>+K8-M8</f>
        <v>0</v>
      </c>
      <c r="P8" s="10">
        <f t="shared" si="1"/>
        <v>0</v>
      </c>
      <c r="Q8" s="10">
        <f>+N8-K8</f>
        <v>0</v>
      </c>
      <c r="R8" s="10">
        <f t="shared" si="2"/>
        <v>-30</v>
      </c>
      <c r="S8" s="2">
        <v>29</v>
      </c>
      <c r="T8" s="8">
        <f t="shared" si="3"/>
        <v>0</v>
      </c>
      <c r="U8" s="8">
        <f t="shared" si="4"/>
        <v>-72900</v>
      </c>
      <c r="V8" s="116">
        <f t="shared" si="5"/>
        <v>129</v>
      </c>
    </row>
    <row r="9" spans="1:22" ht="15">
      <c r="A9" s="180" t="s">
        <v>95</v>
      </c>
      <c r="B9" s="181">
        <v>43486</v>
      </c>
      <c r="C9" s="180" t="s">
        <v>96</v>
      </c>
      <c r="D9" s="182">
        <v>4714.48</v>
      </c>
      <c r="F9" s="180"/>
      <c r="K9" s="181">
        <v>43502</v>
      </c>
      <c r="M9" s="183">
        <f t="shared" si="0"/>
        <v>43511</v>
      </c>
      <c r="N9" s="181">
        <v>43511</v>
      </c>
      <c r="O9" s="10">
        <f>+K9-M9</f>
        <v>-9</v>
      </c>
      <c r="P9" s="10">
        <f t="shared" si="1"/>
        <v>0</v>
      </c>
      <c r="Q9" s="10">
        <f>+N9-K9</f>
        <v>9</v>
      </c>
      <c r="R9" s="10">
        <f t="shared" si="2"/>
        <v>-21</v>
      </c>
      <c r="S9" s="2">
        <v>29</v>
      </c>
      <c r="T9" s="8">
        <f t="shared" si="3"/>
        <v>0</v>
      </c>
      <c r="U9" s="8">
        <f t="shared" si="4"/>
        <v>-99004.07999999999</v>
      </c>
      <c r="V9" s="116">
        <f t="shared" si="5"/>
        <v>129</v>
      </c>
    </row>
    <row r="10" spans="1:22" ht="15">
      <c r="A10" s="180" t="s">
        <v>97</v>
      </c>
      <c r="B10" s="181">
        <v>43487</v>
      </c>
      <c r="C10" s="180" t="s">
        <v>98</v>
      </c>
      <c r="D10" s="182">
        <v>768.47</v>
      </c>
      <c r="F10" s="180"/>
      <c r="K10" s="181">
        <v>43509</v>
      </c>
      <c r="M10" s="183">
        <f t="shared" si="0"/>
        <v>43511</v>
      </c>
      <c r="N10" s="181">
        <v>43511</v>
      </c>
      <c r="O10" s="10">
        <f>+K10-M10</f>
        <v>-2</v>
      </c>
      <c r="P10" s="10">
        <f t="shared" si="1"/>
        <v>0</v>
      </c>
      <c r="Q10" s="10">
        <f>+N10-K10</f>
        <v>2</v>
      </c>
      <c r="R10" s="10">
        <f t="shared" si="2"/>
        <v>-28</v>
      </c>
      <c r="S10" s="2">
        <v>22</v>
      </c>
      <c r="T10" s="8">
        <f t="shared" si="3"/>
        <v>0</v>
      </c>
      <c r="U10" s="8">
        <f t="shared" si="4"/>
        <v>-21517.16</v>
      </c>
      <c r="V10" s="116">
        <f t="shared" si="5"/>
        <v>122</v>
      </c>
    </row>
    <row r="11" spans="1:22" ht="15">
      <c r="A11" s="180" t="s">
        <v>99</v>
      </c>
      <c r="B11" s="181">
        <v>43472</v>
      </c>
      <c r="C11" s="180" t="s">
        <v>100</v>
      </c>
      <c r="D11" s="182">
        <v>276.97</v>
      </c>
      <c r="F11" s="180"/>
      <c r="K11" s="181">
        <v>43509</v>
      </c>
      <c r="M11" s="183">
        <f t="shared" si="0"/>
        <v>43511</v>
      </c>
      <c r="N11" s="181">
        <v>43511</v>
      </c>
      <c r="O11" s="10">
        <f>+K11-M11</f>
        <v>-2</v>
      </c>
      <c r="P11" s="10">
        <f t="shared" si="1"/>
        <v>0</v>
      </c>
      <c r="Q11" s="10">
        <f>+N11-K11</f>
        <v>2</v>
      </c>
      <c r="R11" s="10">
        <f t="shared" si="2"/>
        <v>-28</v>
      </c>
      <c r="S11" s="2">
        <v>22</v>
      </c>
      <c r="T11" s="8">
        <f t="shared" si="3"/>
        <v>0</v>
      </c>
      <c r="U11" s="8">
        <f t="shared" si="4"/>
        <v>-7755.160000000001</v>
      </c>
      <c r="V11" s="116">
        <f t="shared" si="5"/>
        <v>122</v>
      </c>
    </row>
    <row r="12" spans="1:22" ht="15">
      <c r="A12" s="180" t="s">
        <v>101</v>
      </c>
      <c r="B12" s="181">
        <v>43496</v>
      </c>
      <c r="C12" s="180" t="s">
        <v>102</v>
      </c>
      <c r="D12" s="182">
        <v>21</v>
      </c>
      <c r="F12" s="180"/>
      <c r="K12" s="181">
        <v>43509</v>
      </c>
      <c r="M12" s="183">
        <f t="shared" si="0"/>
        <v>43511</v>
      </c>
      <c r="N12" s="181">
        <v>43511</v>
      </c>
      <c r="O12" s="10">
        <f>+K12-M12</f>
        <v>-2</v>
      </c>
      <c r="P12" s="10">
        <f t="shared" si="1"/>
        <v>0</v>
      </c>
      <c r="Q12" s="10">
        <f>+N12-K12</f>
        <v>2</v>
      </c>
      <c r="R12" s="10">
        <f t="shared" si="2"/>
        <v>-28</v>
      </c>
      <c r="S12" s="2">
        <v>22</v>
      </c>
      <c r="T12" s="8">
        <f t="shared" si="3"/>
        <v>0</v>
      </c>
      <c r="U12" s="8">
        <f t="shared" si="4"/>
        <v>-588</v>
      </c>
      <c r="V12" s="116">
        <f t="shared" si="5"/>
        <v>122</v>
      </c>
    </row>
    <row r="13" spans="1:22" ht="15">
      <c r="A13" s="180" t="s">
        <v>103</v>
      </c>
      <c r="B13" s="181">
        <v>43496</v>
      </c>
      <c r="C13" s="180" t="s">
        <v>104</v>
      </c>
      <c r="D13" s="182">
        <v>15</v>
      </c>
      <c r="F13" s="180"/>
      <c r="K13" s="181">
        <v>43509</v>
      </c>
      <c r="M13" s="183">
        <f t="shared" si="0"/>
        <v>43511</v>
      </c>
      <c r="N13" s="181">
        <v>43511</v>
      </c>
      <c r="O13" s="10">
        <f>+K13-M13</f>
        <v>-2</v>
      </c>
      <c r="P13" s="10">
        <f t="shared" si="1"/>
        <v>0</v>
      </c>
      <c r="Q13" s="10">
        <f>+N13-K13</f>
        <v>2</v>
      </c>
      <c r="R13" s="10">
        <f t="shared" si="2"/>
        <v>-28</v>
      </c>
      <c r="S13" s="2">
        <v>22</v>
      </c>
      <c r="T13" s="8">
        <f t="shared" si="3"/>
        <v>0</v>
      </c>
      <c r="U13" s="8">
        <f t="shared" si="4"/>
        <v>-420</v>
      </c>
      <c r="V13" s="116">
        <f t="shared" si="5"/>
        <v>122</v>
      </c>
    </row>
    <row r="14" spans="1:22" ht="15">
      <c r="A14" s="180" t="s">
        <v>105</v>
      </c>
      <c r="B14" s="181">
        <v>43472</v>
      </c>
      <c r="C14" s="180" t="s">
        <v>106</v>
      </c>
      <c r="D14" s="182">
        <v>232</v>
      </c>
      <c r="F14" s="180"/>
      <c r="K14" s="181">
        <v>43509</v>
      </c>
      <c r="M14" s="183">
        <f t="shared" si="0"/>
        <v>43501</v>
      </c>
      <c r="N14" s="181">
        <v>43501</v>
      </c>
      <c r="O14" s="10">
        <f>+K14-M14</f>
        <v>8</v>
      </c>
      <c r="P14" s="10">
        <f t="shared" si="1"/>
        <v>0</v>
      </c>
      <c r="Q14" s="10">
        <f>+N14-K14</f>
        <v>-8</v>
      </c>
      <c r="R14" s="10">
        <f t="shared" si="2"/>
        <v>-38</v>
      </c>
      <c r="S14" s="2">
        <v>29</v>
      </c>
      <c r="T14" s="8">
        <f t="shared" si="3"/>
        <v>0</v>
      </c>
      <c r="U14" s="8">
        <f t="shared" si="4"/>
        <v>-8816</v>
      </c>
      <c r="V14" s="116">
        <f t="shared" si="5"/>
        <v>129</v>
      </c>
    </row>
    <row r="15" spans="1:22" ht="15">
      <c r="A15" s="180" t="s">
        <v>107</v>
      </c>
      <c r="B15" s="181">
        <v>43496</v>
      </c>
      <c r="C15" s="180" t="s">
        <v>108</v>
      </c>
      <c r="D15" s="182">
        <v>194.82</v>
      </c>
      <c r="F15" s="180"/>
      <c r="K15" s="181">
        <v>43509</v>
      </c>
      <c r="M15" s="183">
        <f t="shared" si="0"/>
        <v>43511</v>
      </c>
      <c r="N15" s="181">
        <v>43511</v>
      </c>
      <c r="O15" s="10">
        <f>+K15-M15</f>
        <v>-2</v>
      </c>
      <c r="P15" s="10">
        <f t="shared" si="1"/>
        <v>0</v>
      </c>
      <c r="Q15" s="10">
        <f>+N15-K15</f>
        <v>2</v>
      </c>
      <c r="R15" s="10">
        <f t="shared" si="2"/>
        <v>-28</v>
      </c>
      <c r="S15" s="2">
        <v>22</v>
      </c>
      <c r="T15" s="8">
        <f t="shared" si="3"/>
        <v>0</v>
      </c>
      <c r="U15" s="8">
        <f t="shared" si="4"/>
        <v>-5454.96</v>
      </c>
      <c r="V15" s="116">
        <f t="shared" si="5"/>
        <v>122</v>
      </c>
    </row>
    <row r="16" spans="1:22" ht="15">
      <c r="A16" s="180" t="s">
        <v>109</v>
      </c>
      <c r="B16" s="181">
        <v>43472</v>
      </c>
      <c r="C16" s="180" t="s">
        <v>110</v>
      </c>
      <c r="D16" s="182">
        <v>968.27</v>
      </c>
      <c r="F16" s="180"/>
      <c r="K16" s="181">
        <v>43509</v>
      </c>
      <c r="M16" s="183">
        <f t="shared" si="0"/>
        <v>43511</v>
      </c>
      <c r="N16" s="181">
        <v>43511</v>
      </c>
      <c r="O16" s="10">
        <f>+K16-M16</f>
        <v>-2</v>
      </c>
      <c r="P16" s="10">
        <f t="shared" si="1"/>
        <v>0</v>
      </c>
      <c r="Q16" s="10">
        <f>+N16-K16</f>
        <v>2</v>
      </c>
      <c r="R16" s="10">
        <f t="shared" si="2"/>
        <v>-28</v>
      </c>
      <c r="S16" s="2">
        <v>22</v>
      </c>
      <c r="T16" s="8">
        <f t="shared" si="3"/>
        <v>0</v>
      </c>
      <c r="U16" s="8">
        <f t="shared" si="4"/>
        <v>-27111.559999999998</v>
      </c>
      <c r="V16" s="116">
        <f t="shared" si="5"/>
        <v>122</v>
      </c>
    </row>
    <row r="17" spans="1:22" ht="15">
      <c r="A17" s="180" t="s">
        <v>111</v>
      </c>
      <c r="B17" s="181">
        <v>43486</v>
      </c>
      <c r="C17" s="180" t="s">
        <v>112</v>
      </c>
      <c r="D17" s="182">
        <v>152.92</v>
      </c>
      <c r="F17" s="180"/>
      <c r="K17" s="181">
        <v>43509</v>
      </c>
      <c r="M17" s="183">
        <f t="shared" si="0"/>
        <v>43511</v>
      </c>
      <c r="N17" s="181">
        <v>43511</v>
      </c>
      <c r="O17" s="10">
        <f>+K17-M17</f>
        <v>-2</v>
      </c>
      <c r="P17" s="10">
        <f t="shared" si="1"/>
        <v>0</v>
      </c>
      <c r="Q17" s="10">
        <f>+N17-K17</f>
        <v>2</v>
      </c>
      <c r="R17" s="10">
        <f t="shared" si="2"/>
        <v>-28</v>
      </c>
      <c r="S17" s="2">
        <v>22</v>
      </c>
      <c r="T17" s="8">
        <f t="shared" si="3"/>
        <v>0</v>
      </c>
      <c r="U17" s="8">
        <f t="shared" si="4"/>
        <v>-4281.759999999999</v>
      </c>
      <c r="V17" s="116">
        <f t="shared" si="5"/>
        <v>122</v>
      </c>
    </row>
    <row r="18" spans="1:22" ht="15">
      <c r="A18" s="180" t="s">
        <v>113</v>
      </c>
      <c r="B18" s="181">
        <v>43476</v>
      </c>
      <c r="C18" s="180" t="s">
        <v>114</v>
      </c>
      <c r="D18" s="182">
        <v>362.65</v>
      </c>
      <c r="F18" s="180"/>
      <c r="K18" s="181">
        <v>43509</v>
      </c>
      <c r="M18" s="183">
        <f t="shared" si="0"/>
        <v>43476</v>
      </c>
      <c r="N18" s="181">
        <v>43476</v>
      </c>
      <c r="O18" s="10">
        <f>+K18-M18</f>
        <v>33</v>
      </c>
      <c r="P18" s="10">
        <f t="shared" si="1"/>
        <v>0</v>
      </c>
      <c r="Q18" s="10">
        <f>+N18-K18</f>
        <v>-33</v>
      </c>
      <c r="R18" s="10">
        <f t="shared" si="2"/>
        <v>-63</v>
      </c>
      <c r="S18" s="2">
        <v>21</v>
      </c>
      <c r="T18" s="8">
        <f t="shared" si="3"/>
        <v>0</v>
      </c>
      <c r="U18" s="8">
        <f t="shared" si="4"/>
        <v>-22846.949999999997</v>
      </c>
      <c r="V18" s="116">
        <f t="shared" si="5"/>
        <v>121</v>
      </c>
    </row>
    <row r="19" spans="1:22" ht="15">
      <c r="A19" s="180" t="s">
        <v>115</v>
      </c>
      <c r="B19" s="181">
        <v>43475</v>
      </c>
      <c r="C19" s="180" t="s">
        <v>116</v>
      </c>
      <c r="D19" s="182">
        <v>60</v>
      </c>
      <c r="F19" s="180"/>
      <c r="K19" s="181">
        <v>43475</v>
      </c>
      <c r="M19" s="183">
        <f t="shared" si="0"/>
        <v>43475</v>
      </c>
      <c r="N19" s="181">
        <v>43475</v>
      </c>
      <c r="O19" s="10">
        <f>+K19-M19</f>
        <v>0</v>
      </c>
      <c r="P19" s="10">
        <f t="shared" si="1"/>
        <v>0</v>
      </c>
      <c r="Q19" s="10">
        <f>+N19-K19</f>
        <v>0</v>
      </c>
      <c r="R19" s="10">
        <f t="shared" si="2"/>
        <v>-30</v>
      </c>
      <c r="S19" s="2">
        <v>21</v>
      </c>
      <c r="T19" s="8">
        <f t="shared" si="3"/>
        <v>0</v>
      </c>
      <c r="U19" s="8">
        <f t="shared" si="4"/>
        <v>-1800</v>
      </c>
      <c r="V19" s="116">
        <f t="shared" si="5"/>
        <v>121</v>
      </c>
    </row>
    <row r="20" spans="1:22" ht="15">
      <c r="A20" s="180" t="s">
        <v>117</v>
      </c>
      <c r="B20" s="181">
        <v>43504</v>
      </c>
      <c r="C20" s="180" t="s">
        <v>118</v>
      </c>
      <c r="D20" s="182">
        <v>314.67</v>
      </c>
      <c r="F20" s="180"/>
      <c r="K20" s="181">
        <v>43509</v>
      </c>
      <c r="M20" s="183">
        <f t="shared" si="0"/>
        <v>43511</v>
      </c>
      <c r="N20" s="181">
        <v>43511</v>
      </c>
      <c r="O20" s="10">
        <f>+K20-M20</f>
        <v>-2</v>
      </c>
      <c r="P20" s="10">
        <f t="shared" si="1"/>
        <v>0</v>
      </c>
      <c r="Q20" s="10">
        <f>+N20-K20</f>
        <v>2</v>
      </c>
      <c r="R20" s="10">
        <f t="shared" si="2"/>
        <v>-28</v>
      </c>
      <c r="S20" s="2">
        <v>21</v>
      </c>
      <c r="T20" s="8">
        <f t="shared" si="3"/>
        <v>0</v>
      </c>
      <c r="U20" s="8">
        <f t="shared" si="4"/>
        <v>-8810.76</v>
      </c>
      <c r="V20" s="116">
        <f t="shared" si="5"/>
        <v>121</v>
      </c>
    </row>
    <row r="21" spans="1:22" ht="15">
      <c r="A21" s="180" t="s">
        <v>119</v>
      </c>
      <c r="B21" s="181">
        <v>43504</v>
      </c>
      <c r="C21" s="180" t="s">
        <v>120</v>
      </c>
      <c r="D21" s="182">
        <v>542.64</v>
      </c>
      <c r="F21" s="180"/>
      <c r="K21" s="181">
        <v>43509</v>
      </c>
      <c r="M21" s="183">
        <f t="shared" si="0"/>
        <v>43511</v>
      </c>
      <c r="N21" s="181">
        <v>43511</v>
      </c>
      <c r="O21" s="10">
        <f>+K21-M21</f>
        <v>-2</v>
      </c>
      <c r="P21" s="10">
        <f t="shared" si="1"/>
        <v>0</v>
      </c>
      <c r="Q21" s="10">
        <f>+N21-K21</f>
        <v>2</v>
      </c>
      <c r="R21" s="10">
        <f t="shared" si="2"/>
        <v>-28</v>
      </c>
      <c r="S21" s="2">
        <v>21</v>
      </c>
      <c r="T21" s="8">
        <f t="shared" si="3"/>
        <v>0</v>
      </c>
      <c r="U21" s="8">
        <f t="shared" si="4"/>
        <v>-15193.92</v>
      </c>
      <c r="V21" s="116">
        <f t="shared" si="5"/>
        <v>121</v>
      </c>
    </row>
    <row r="22" spans="1:22" ht="15">
      <c r="A22" s="180" t="s">
        <v>121</v>
      </c>
      <c r="B22" s="181">
        <v>43508</v>
      </c>
      <c r="C22" s="180" t="s">
        <v>122</v>
      </c>
      <c r="D22" s="182">
        <v>100</v>
      </c>
      <c r="F22" s="180"/>
      <c r="K22" s="181">
        <v>43511</v>
      </c>
      <c r="M22" s="183">
        <f t="shared" si="0"/>
        <v>43511</v>
      </c>
      <c r="N22" s="181">
        <v>43511</v>
      </c>
      <c r="O22" s="10">
        <f>+K22-M22</f>
        <v>0</v>
      </c>
      <c r="P22" s="10">
        <f t="shared" si="1"/>
        <v>0</v>
      </c>
      <c r="Q22" s="10">
        <f>+N22-K22</f>
        <v>0</v>
      </c>
      <c r="R22" s="10">
        <f t="shared" si="2"/>
        <v>-30</v>
      </c>
      <c r="S22" s="2">
        <v>29</v>
      </c>
      <c r="T22" s="8">
        <f t="shared" si="3"/>
        <v>0</v>
      </c>
      <c r="U22" s="8">
        <f t="shared" si="4"/>
        <v>-3000</v>
      </c>
      <c r="V22" s="116">
        <f t="shared" si="5"/>
        <v>129</v>
      </c>
    </row>
    <row r="23" spans="1:22" ht="15">
      <c r="A23" s="180" t="s">
        <v>123</v>
      </c>
      <c r="B23" s="181">
        <v>43539</v>
      </c>
      <c r="C23" s="180" t="s">
        <v>124</v>
      </c>
      <c r="D23" s="182">
        <v>1296</v>
      </c>
      <c r="F23" s="180"/>
      <c r="K23" s="181">
        <v>43522</v>
      </c>
      <c r="M23" s="183">
        <f t="shared" si="0"/>
        <v>43539</v>
      </c>
      <c r="N23" s="181">
        <v>43539</v>
      </c>
      <c r="O23" s="10">
        <f>+K23-M23</f>
        <v>-17</v>
      </c>
      <c r="P23" s="10">
        <f t="shared" si="1"/>
        <v>0</v>
      </c>
      <c r="Q23" s="10">
        <f>+N23-K23</f>
        <v>17</v>
      </c>
      <c r="R23" s="10">
        <f t="shared" si="2"/>
        <v>-13</v>
      </c>
      <c r="S23" s="2">
        <v>21</v>
      </c>
      <c r="T23" s="8">
        <f t="shared" si="3"/>
        <v>0</v>
      </c>
      <c r="U23" s="8">
        <f t="shared" si="4"/>
        <v>-16848</v>
      </c>
      <c r="V23" s="116">
        <f t="shared" si="5"/>
        <v>121</v>
      </c>
    </row>
    <row r="24" spans="1:22" ht="15">
      <c r="A24" s="180" t="s">
        <v>125</v>
      </c>
      <c r="B24" s="181">
        <v>43524</v>
      </c>
      <c r="C24" s="180" t="s">
        <v>126</v>
      </c>
      <c r="D24" s="182">
        <v>2430</v>
      </c>
      <c r="F24" s="180"/>
      <c r="K24" s="181">
        <v>43535</v>
      </c>
      <c r="M24" s="183">
        <f t="shared" si="0"/>
        <v>43536</v>
      </c>
      <c r="N24" s="181">
        <v>43536</v>
      </c>
      <c r="O24" s="10">
        <f>+K24-M24</f>
        <v>-1</v>
      </c>
      <c r="P24" s="10">
        <f t="shared" si="1"/>
        <v>0</v>
      </c>
      <c r="Q24" s="10">
        <f>+N24-K24</f>
        <v>1</v>
      </c>
      <c r="R24" s="10">
        <f t="shared" si="2"/>
        <v>-29</v>
      </c>
      <c r="S24" s="2">
        <v>21</v>
      </c>
      <c r="T24" s="8">
        <f t="shared" si="3"/>
        <v>0</v>
      </c>
      <c r="U24" s="8">
        <f t="shared" si="4"/>
        <v>-70470</v>
      </c>
      <c r="V24" s="116">
        <f t="shared" si="5"/>
        <v>121</v>
      </c>
    </row>
    <row r="25" spans="1:22" ht="15">
      <c r="A25" s="180" t="s">
        <v>127</v>
      </c>
      <c r="B25" s="181">
        <v>43504</v>
      </c>
      <c r="C25" s="180" t="s">
        <v>128</v>
      </c>
      <c r="D25" s="182">
        <v>205.16</v>
      </c>
      <c r="F25" s="180"/>
      <c r="K25" s="181">
        <v>43535</v>
      </c>
      <c r="M25" s="183">
        <f t="shared" si="0"/>
        <v>43539</v>
      </c>
      <c r="N25" s="181">
        <v>43539</v>
      </c>
      <c r="O25" s="10">
        <f>+K25-M25</f>
        <v>-4</v>
      </c>
      <c r="P25" s="10">
        <f t="shared" si="1"/>
        <v>0</v>
      </c>
      <c r="Q25" s="10">
        <f>+N25-K25</f>
        <v>4</v>
      </c>
      <c r="R25" s="10">
        <f t="shared" si="2"/>
        <v>-26</v>
      </c>
      <c r="S25" s="2">
        <v>22</v>
      </c>
      <c r="T25" s="8">
        <f t="shared" si="3"/>
        <v>0</v>
      </c>
      <c r="U25" s="8">
        <f t="shared" si="4"/>
        <v>-5334.16</v>
      </c>
      <c r="V25" s="116">
        <f t="shared" si="5"/>
        <v>122</v>
      </c>
    </row>
    <row r="26" spans="1:22" ht="15">
      <c r="A26" s="180" t="s">
        <v>129</v>
      </c>
      <c r="B26" s="181">
        <v>43504</v>
      </c>
      <c r="C26" s="180" t="s">
        <v>130</v>
      </c>
      <c r="D26" s="182">
        <v>20.7</v>
      </c>
      <c r="F26" s="180"/>
      <c r="K26" s="181">
        <v>43535</v>
      </c>
      <c r="M26" s="183">
        <f t="shared" si="0"/>
        <v>43539</v>
      </c>
      <c r="N26" s="181">
        <v>43539</v>
      </c>
      <c r="O26" s="10">
        <f>+K26-M26</f>
        <v>-4</v>
      </c>
      <c r="P26" s="10">
        <f t="shared" si="1"/>
        <v>0</v>
      </c>
      <c r="Q26" s="10">
        <f>+N26-K26</f>
        <v>4</v>
      </c>
      <c r="R26" s="10">
        <f t="shared" si="2"/>
        <v>-26</v>
      </c>
      <c r="S26" s="2">
        <v>22</v>
      </c>
      <c r="T26" s="8">
        <f t="shared" si="3"/>
        <v>0</v>
      </c>
      <c r="U26" s="8">
        <f t="shared" si="4"/>
        <v>-538.1999999999999</v>
      </c>
      <c r="V26" s="116">
        <f t="shared" si="5"/>
        <v>122</v>
      </c>
    </row>
    <row r="27" spans="1:22" ht="15">
      <c r="A27" s="180" t="s">
        <v>131</v>
      </c>
      <c r="B27" s="181">
        <v>43496</v>
      </c>
      <c r="C27" s="180" t="s">
        <v>132</v>
      </c>
      <c r="D27" s="182">
        <v>927.42</v>
      </c>
      <c r="F27" s="180"/>
      <c r="K27" s="181">
        <v>43535</v>
      </c>
      <c r="M27" s="183">
        <f t="shared" si="0"/>
        <v>43539</v>
      </c>
      <c r="N27" s="181">
        <v>43539</v>
      </c>
      <c r="O27" s="10">
        <f>+K27-M27</f>
        <v>-4</v>
      </c>
      <c r="P27" s="10">
        <f t="shared" si="1"/>
        <v>0</v>
      </c>
      <c r="Q27" s="10">
        <f>+N27-K27</f>
        <v>4</v>
      </c>
      <c r="R27" s="10">
        <f t="shared" si="2"/>
        <v>-26</v>
      </c>
      <c r="S27" s="2">
        <v>22</v>
      </c>
      <c r="T27" s="8">
        <f t="shared" si="3"/>
        <v>0</v>
      </c>
      <c r="U27" s="8">
        <f t="shared" si="4"/>
        <v>-24112.92</v>
      </c>
      <c r="V27" s="116">
        <f t="shared" si="5"/>
        <v>122</v>
      </c>
    </row>
    <row r="28" spans="1:22" ht="15">
      <c r="A28" s="180" t="s">
        <v>133</v>
      </c>
      <c r="B28" s="181">
        <v>43511</v>
      </c>
      <c r="C28" s="180" t="s">
        <v>134</v>
      </c>
      <c r="D28" s="182">
        <v>129.5</v>
      </c>
      <c r="F28" s="180"/>
      <c r="K28" s="181">
        <v>43535</v>
      </c>
      <c r="M28" s="183">
        <f t="shared" si="0"/>
        <v>43539</v>
      </c>
      <c r="N28" s="181">
        <v>43539</v>
      </c>
      <c r="O28" s="10">
        <f>+K28-M28</f>
        <v>-4</v>
      </c>
      <c r="P28" s="10">
        <f t="shared" si="1"/>
        <v>0</v>
      </c>
      <c r="Q28" s="10">
        <f>+N28-K28</f>
        <v>4</v>
      </c>
      <c r="R28" s="10">
        <f t="shared" si="2"/>
        <v>-26</v>
      </c>
      <c r="S28" s="2">
        <v>22</v>
      </c>
      <c r="T28" s="8">
        <f t="shared" si="3"/>
        <v>0</v>
      </c>
      <c r="U28" s="8">
        <f t="shared" si="4"/>
        <v>-3367</v>
      </c>
      <c r="V28" s="116">
        <f t="shared" si="5"/>
        <v>122</v>
      </c>
    </row>
    <row r="29" spans="1:22" ht="15">
      <c r="A29" s="180" t="s">
        <v>135</v>
      </c>
      <c r="B29" s="181">
        <v>43524</v>
      </c>
      <c r="C29" s="180" t="s">
        <v>136</v>
      </c>
      <c r="D29" s="182">
        <v>3240</v>
      </c>
      <c r="F29" s="180"/>
      <c r="K29" s="181">
        <v>43535</v>
      </c>
      <c r="M29" s="183">
        <f t="shared" si="0"/>
        <v>43539</v>
      </c>
      <c r="N29" s="181">
        <v>43539</v>
      </c>
      <c r="O29" s="10">
        <f>+K29-M29</f>
        <v>-4</v>
      </c>
      <c r="P29" s="10">
        <f t="shared" si="1"/>
        <v>0</v>
      </c>
      <c r="Q29" s="10">
        <f>+N29-K29</f>
        <v>4</v>
      </c>
      <c r="R29" s="10">
        <f t="shared" si="2"/>
        <v>-26</v>
      </c>
      <c r="S29" s="2">
        <v>29</v>
      </c>
      <c r="T29" s="8">
        <f t="shared" si="3"/>
        <v>0</v>
      </c>
      <c r="U29" s="8">
        <f t="shared" si="4"/>
        <v>-84240</v>
      </c>
      <c r="V29" s="116">
        <f t="shared" si="5"/>
        <v>129</v>
      </c>
    </row>
    <row r="30" spans="1:22" ht="15">
      <c r="A30" s="180" t="s">
        <v>137</v>
      </c>
      <c r="B30" s="181">
        <v>43524</v>
      </c>
      <c r="C30" s="180" t="s">
        <v>138</v>
      </c>
      <c r="D30" s="182">
        <v>5.4</v>
      </c>
      <c r="F30" s="180"/>
      <c r="K30" s="181">
        <v>43535</v>
      </c>
      <c r="M30" s="183">
        <f t="shared" si="0"/>
        <v>43539</v>
      </c>
      <c r="N30" s="181">
        <v>43539</v>
      </c>
      <c r="O30" s="10">
        <f>+K30-M30</f>
        <v>-4</v>
      </c>
      <c r="P30" s="10">
        <f t="shared" si="1"/>
        <v>0</v>
      </c>
      <c r="Q30" s="10">
        <f>+N30-K30</f>
        <v>4</v>
      </c>
      <c r="R30" s="10">
        <f t="shared" si="2"/>
        <v>-26</v>
      </c>
      <c r="S30" s="2">
        <v>22</v>
      </c>
      <c r="T30" s="8">
        <f t="shared" si="3"/>
        <v>0</v>
      </c>
      <c r="U30" s="8">
        <f t="shared" si="4"/>
        <v>-140.4</v>
      </c>
      <c r="V30" s="116">
        <f t="shared" si="5"/>
        <v>122</v>
      </c>
    </row>
    <row r="31" spans="1:22" ht="15">
      <c r="A31" s="180" t="s">
        <v>139</v>
      </c>
      <c r="B31" s="181">
        <v>43518</v>
      </c>
      <c r="C31" s="180" t="s">
        <v>140</v>
      </c>
      <c r="D31" s="182">
        <v>189.53</v>
      </c>
      <c r="F31" s="180"/>
      <c r="K31" s="181">
        <v>43535</v>
      </c>
      <c r="M31" s="183">
        <f t="shared" si="0"/>
        <v>43539</v>
      </c>
      <c r="N31" s="181">
        <v>43539</v>
      </c>
      <c r="O31" s="10">
        <f>+K31-M31</f>
        <v>-4</v>
      </c>
      <c r="P31" s="10">
        <f t="shared" si="1"/>
        <v>0</v>
      </c>
      <c r="Q31" s="10">
        <f>+N31-K31</f>
        <v>4</v>
      </c>
      <c r="R31" s="10">
        <f t="shared" si="2"/>
        <v>-26</v>
      </c>
      <c r="S31" s="2">
        <v>22</v>
      </c>
      <c r="T31" s="8">
        <f t="shared" si="3"/>
        <v>0</v>
      </c>
      <c r="U31" s="8">
        <f t="shared" si="4"/>
        <v>-4927.78</v>
      </c>
      <c r="V31" s="116">
        <f t="shared" si="5"/>
        <v>122</v>
      </c>
    </row>
    <row r="32" spans="1:22" ht="15">
      <c r="A32" s="180" t="s">
        <v>141</v>
      </c>
      <c r="B32" s="181">
        <v>43523</v>
      </c>
      <c r="C32" s="180" t="s">
        <v>142</v>
      </c>
      <c r="D32" s="182">
        <v>1124.19</v>
      </c>
      <c r="F32" s="180"/>
      <c r="K32" s="181">
        <v>43535</v>
      </c>
      <c r="M32" s="183">
        <f t="shared" si="0"/>
        <v>43539</v>
      </c>
      <c r="N32" s="181">
        <v>43539</v>
      </c>
      <c r="O32" s="10">
        <f>+K32-M32</f>
        <v>-4</v>
      </c>
      <c r="P32" s="10">
        <f t="shared" si="1"/>
        <v>0</v>
      </c>
      <c r="Q32" s="10">
        <f>+N32-K32</f>
        <v>4</v>
      </c>
      <c r="R32" s="10">
        <f t="shared" si="2"/>
        <v>-26</v>
      </c>
      <c r="S32" s="2">
        <v>22</v>
      </c>
      <c r="T32" s="8">
        <f t="shared" si="3"/>
        <v>0</v>
      </c>
      <c r="U32" s="8">
        <f t="shared" si="4"/>
        <v>-29228.940000000002</v>
      </c>
      <c r="V32" s="116">
        <f t="shared" si="5"/>
        <v>122</v>
      </c>
    </row>
    <row r="33" spans="1:22" ht="15">
      <c r="A33" s="180" t="s">
        <v>143</v>
      </c>
      <c r="B33" s="181">
        <v>43518</v>
      </c>
      <c r="C33" s="180" t="s">
        <v>144</v>
      </c>
      <c r="D33" s="182">
        <v>0.75</v>
      </c>
      <c r="F33" s="180"/>
      <c r="K33" s="181">
        <v>43535</v>
      </c>
      <c r="M33" s="183">
        <f t="shared" si="0"/>
        <v>43539</v>
      </c>
      <c r="N33" s="181">
        <v>43539</v>
      </c>
      <c r="O33" s="10">
        <f>+K33-M33</f>
        <v>-4</v>
      </c>
      <c r="P33" s="10">
        <f t="shared" si="1"/>
        <v>0</v>
      </c>
      <c r="Q33" s="10">
        <f>+N33-K33</f>
        <v>4</v>
      </c>
      <c r="R33" s="10">
        <f t="shared" si="2"/>
        <v>-26</v>
      </c>
      <c r="S33" s="2">
        <v>22</v>
      </c>
      <c r="T33" s="8">
        <f t="shared" si="3"/>
        <v>0</v>
      </c>
      <c r="U33" s="8">
        <f t="shared" si="4"/>
        <v>-19.5</v>
      </c>
      <c r="V33" s="116">
        <f t="shared" si="5"/>
        <v>122</v>
      </c>
    </row>
    <row r="34" spans="1:22" ht="15">
      <c r="A34" s="180" t="s">
        <v>145</v>
      </c>
      <c r="B34" s="181">
        <v>43503</v>
      </c>
      <c r="C34" s="180" t="s">
        <v>146</v>
      </c>
      <c r="D34" s="182">
        <v>212.05</v>
      </c>
      <c r="F34" s="180"/>
      <c r="K34" s="181">
        <v>43535</v>
      </c>
      <c r="M34" s="183">
        <f t="shared" si="0"/>
        <v>43539</v>
      </c>
      <c r="N34" s="181">
        <v>43539</v>
      </c>
      <c r="O34" s="10">
        <f>+K34-M34</f>
        <v>-4</v>
      </c>
      <c r="P34" s="10">
        <f t="shared" si="1"/>
        <v>0</v>
      </c>
      <c r="Q34" s="10">
        <f>+N34-K34</f>
        <v>4</v>
      </c>
      <c r="R34" s="10">
        <f t="shared" si="2"/>
        <v>-26</v>
      </c>
      <c r="S34" s="2">
        <v>22</v>
      </c>
      <c r="T34" s="8">
        <f t="shared" si="3"/>
        <v>0</v>
      </c>
      <c r="U34" s="8">
        <f t="shared" si="4"/>
        <v>-5513.3</v>
      </c>
      <c r="V34" s="116">
        <f t="shared" si="5"/>
        <v>122</v>
      </c>
    </row>
    <row r="35" spans="1:22" ht="15">
      <c r="A35" s="180" t="s">
        <v>147</v>
      </c>
      <c r="B35" s="181">
        <v>43521</v>
      </c>
      <c r="C35" s="180" t="s">
        <v>148</v>
      </c>
      <c r="D35" s="182">
        <v>71.38</v>
      </c>
      <c r="F35" s="180"/>
      <c r="K35" s="181">
        <v>43535</v>
      </c>
      <c r="M35" s="183">
        <f t="shared" si="0"/>
        <v>43539</v>
      </c>
      <c r="N35" s="181">
        <v>43539</v>
      </c>
      <c r="O35" s="10">
        <f>+K35-M35</f>
        <v>-4</v>
      </c>
      <c r="P35" s="10">
        <f t="shared" si="1"/>
        <v>0</v>
      </c>
      <c r="Q35" s="10">
        <f>+N35-K35</f>
        <v>4</v>
      </c>
      <c r="R35" s="10">
        <f t="shared" si="2"/>
        <v>-26</v>
      </c>
      <c r="S35" s="2">
        <v>22</v>
      </c>
      <c r="T35" s="8">
        <f t="shared" si="3"/>
        <v>0</v>
      </c>
      <c r="U35" s="8">
        <f t="shared" si="4"/>
        <v>-1855.8799999999999</v>
      </c>
      <c r="V35" s="116">
        <f t="shared" si="5"/>
        <v>122</v>
      </c>
    </row>
    <row r="36" spans="1:22" ht="15">
      <c r="A36" s="180" t="s">
        <v>149</v>
      </c>
      <c r="B36" s="181">
        <v>43509</v>
      </c>
      <c r="C36" s="180" t="s">
        <v>150</v>
      </c>
      <c r="D36" s="182">
        <v>64.54</v>
      </c>
      <c r="F36" s="180"/>
      <c r="K36" s="181">
        <v>43535</v>
      </c>
      <c r="M36" s="183">
        <f t="shared" si="0"/>
        <v>43539</v>
      </c>
      <c r="N36" s="181">
        <v>43539</v>
      </c>
      <c r="O36" s="10">
        <f>+K36-M36</f>
        <v>-4</v>
      </c>
      <c r="P36" s="10">
        <f t="shared" si="1"/>
        <v>0</v>
      </c>
      <c r="Q36" s="10">
        <f>+N36-K36</f>
        <v>4</v>
      </c>
      <c r="R36" s="10">
        <f t="shared" si="2"/>
        <v>-26</v>
      </c>
      <c r="S36" s="2">
        <v>22</v>
      </c>
      <c r="T36" s="8">
        <f t="shared" si="3"/>
        <v>0</v>
      </c>
      <c r="U36" s="8">
        <f t="shared" si="4"/>
        <v>-1678.0400000000002</v>
      </c>
      <c r="V36" s="116">
        <f t="shared" si="5"/>
        <v>122</v>
      </c>
    </row>
    <row r="37" spans="1:22" ht="15">
      <c r="A37" s="180" t="s">
        <v>151</v>
      </c>
      <c r="B37" s="181">
        <v>43496</v>
      </c>
      <c r="C37" s="180" t="s">
        <v>152</v>
      </c>
      <c r="D37" s="182">
        <v>10.93</v>
      </c>
      <c r="F37" s="180"/>
      <c r="K37" s="181">
        <v>43536</v>
      </c>
      <c r="M37" s="183">
        <f t="shared" si="0"/>
        <v>43539</v>
      </c>
      <c r="N37" s="181">
        <v>43539</v>
      </c>
      <c r="O37" s="10">
        <f>+K37-M37</f>
        <v>-3</v>
      </c>
      <c r="P37" s="10">
        <f t="shared" si="1"/>
        <v>0</v>
      </c>
      <c r="Q37" s="10">
        <f>+N37-K37</f>
        <v>3</v>
      </c>
      <c r="R37" s="10">
        <f t="shared" si="2"/>
        <v>-27</v>
      </c>
      <c r="S37" s="2">
        <v>22</v>
      </c>
      <c r="T37" s="8">
        <f t="shared" si="3"/>
        <v>0</v>
      </c>
      <c r="U37" s="8">
        <f t="shared" si="4"/>
        <v>-295.11</v>
      </c>
      <c r="V37" s="116">
        <f t="shared" si="5"/>
        <v>122</v>
      </c>
    </row>
    <row r="38" spans="1:22" ht="15">
      <c r="A38" s="180" t="s">
        <v>153</v>
      </c>
      <c r="B38" s="181">
        <v>43496</v>
      </c>
      <c r="C38" s="180" t="s">
        <v>154</v>
      </c>
      <c r="D38" s="182">
        <v>290.4</v>
      </c>
      <c r="F38" s="180"/>
      <c r="K38" s="181">
        <v>43536</v>
      </c>
      <c r="M38" s="183">
        <f t="shared" si="0"/>
        <v>43524</v>
      </c>
      <c r="N38" s="181">
        <v>43524</v>
      </c>
      <c r="O38" s="10">
        <f>+K38-M38</f>
        <v>12</v>
      </c>
      <c r="P38" s="10">
        <f t="shared" si="1"/>
        <v>0</v>
      </c>
      <c r="Q38" s="10">
        <f>+N38-K38</f>
        <v>-12</v>
      </c>
      <c r="R38" s="10">
        <f t="shared" si="2"/>
        <v>-42</v>
      </c>
      <c r="S38" s="2">
        <v>29</v>
      </c>
      <c r="T38" s="8">
        <f t="shared" si="3"/>
        <v>0</v>
      </c>
      <c r="U38" s="8">
        <f t="shared" si="4"/>
        <v>-12196.8</v>
      </c>
      <c r="V38" s="116">
        <f t="shared" si="5"/>
        <v>129</v>
      </c>
    </row>
    <row r="39" spans="1:22" ht="15">
      <c r="A39" s="180" t="s">
        <v>155</v>
      </c>
      <c r="B39" s="181">
        <v>43496</v>
      </c>
      <c r="C39" s="180" t="s">
        <v>156</v>
      </c>
      <c r="D39" s="182">
        <v>2432.11</v>
      </c>
      <c r="F39" s="180"/>
      <c r="K39" s="181">
        <v>43536</v>
      </c>
      <c r="M39" s="183">
        <f t="shared" si="0"/>
        <v>43524</v>
      </c>
      <c r="N39" s="181">
        <v>43524</v>
      </c>
      <c r="O39" s="10">
        <f>+K39-M39</f>
        <v>12</v>
      </c>
      <c r="P39" s="10">
        <f t="shared" si="1"/>
        <v>0</v>
      </c>
      <c r="Q39" s="10">
        <f>+N39-K39</f>
        <v>-12</v>
      </c>
      <c r="R39" s="10">
        <f t="shared" si="2"/>
        <v>-42</v>
      </c>
      <c r="S39" s="2">
        <v>29</v>
      </c>
      <c r="T39" s="8">
        <f t="shared" si="3"/>
        <v>0</v>
      </c>
      <c r="U39" s="8">
        <f t="shared" si="4"/>
        <v>-102148.62000000001</v>
      </c>
      <c r="V39" s="116">
        <f t="shared" si="5"/>
        <v>129</v>
      </c>
    </row>
    <row r="40" spans="1:22" ht="15">
      <c r="A40" s="180" t="s">
        <v>157</v>
      </c>
      <c r="B40" s="181">
        <v>43496</v>
      </c>
      <c r="C40" s="180" t="s">
        <v>158</v>
      </c>
      <c r="D40" s="182">
        <v>2032.8</v>
      </c>
      <c r="F40" s="180"/>
      <c r="K40" s="181">
        <v>43536</v>
      </c>
      <c r="M40" s="183">
        <f t="shared" si="0"/>
        <v>43524</v>
      </c>
      <c r="N40" s="181">
        <v>43524</v>
      </c>
      <c r="O40" s="10">
        <f>+K40-M40</f>
        <v>12</v>
      </c>
      <c r="P40" s="10">
        <f t="shared" si="1"/>
        <v>0</v>
      </c>
      <c r="Q40" s="10">
        <f>+N40-K40</f>
        <v>-12</v>
      </c>
      <c r="R40" s="10">
        <f t="shared" si="2"/>
        <v>-42</v>
      </c>
      <c r="S40" s="2">
        <v>29</v>
      </c>
      <c r="T40" s="8">
        <f t="shared" si="3"/>
        <v>0</v>
      </c>
      <c r="U40" s="8">
        <f t="shared" si="4"/>
        <v>-85377.59999999999</v>
      </c>
      <c r="V40" s="116">
        <f t="shared" si="5"/>
        <v>129</v>
      </c>
    </row>
    <row r="41" spans="1:22" ht="15">
      <c r="A41" s="180" t="s">
        <v>159</v>
      </c>
      <c r="B41" s="181">
        <v>43518</v>
      </c>
      <c r="C41" s="180" t="s">
        <v>160</v>
      </c>
      <c r="D41" s="182">
        <v>1215</v>
      </c>
      <c r="F41" s="180"/>
      <c r="K41" s="181">
        <v>43536</v>
      </c>
      <c r="M41" s="183">
        <f t="shared" si="0"/>
        <v>43539</v>
      </c>
      <c r="N41" s="181">
        <v>43539</v>
      </c>
      <c r="O41" s="10">
        <f>+K41-M41</f>
        <v>-3</v>
      </c>
      <c r="P41" s="10">
        <f t="shared" si="1"/>
        <v>0</v>
      </c>
      <c r="Q41" s="10">
        <f>+N41-K41</f>
        <v>3</v>
      </c>
      <c r="R41" s="10">
        <f t="shared" si="2"/>
        <v>-27</v>
      </c>
      <c r="S41" s="2">
        <v>20</v>
      </c>
      <c r="T41" s="8">
        <f t="shared" si="3"/>
        <v>0</v>
      </c>
      <c r="U41" s="8">
        <f t="shared" si="4"/>
        <v>-32805</v>
      </c>
      <c r="V41" s="116">
        <f t="shared" si="5"/>
        <v>120</v>
      </c>
    </row>
    <row r="42" spans="1:22" ht="15">
      <c r="A42" s="180" t="s">
        <v>161</v>
      </c>
      <c r="B42" s="181">
        <v>43518</v>
      </c>
      <c r="C42" s="180" t="s">
        <v>162</v>
      </c>
      <c r="D42" s="182">
        <v>4860</v>
      </c>
      <c r="F42" s="180"/>
      <c r="K42" s="181">
        <v>43536</v>
      </c>
      <c r="M42" s="183">
        <f t="shared" si="0"/>
        <v>43539</v>
      </c>
      <c r="N42" s="181">
        <v>43539</v>
      </c>
      <c r="O42" s="10">
        <f>+K42-M42</f>
        <v>-3</v>
      </c>
      <c r="P42" s="10">
        <f t="shared" si="1"/>
        <v>0</v>
      </c>
      <c r="Q42" s="10">
        <f>+N42-K42</f>
        <v>3</v>
      </c>
      <c r="R42" s="10">
        <f t="shared" si="2"/>
        <v>-27</v>
      </c>
      <c r="S42" s="2">
        <v>22</v>
      </c>
      <c r="T42" s="8">
        <f t="shared" si="3"/>
        <v>0</v>
      </c>
      <c r="U42" s="8">
        <f t="shared" si="4"/>
        <v>-131220</v>
      </c>
      <c r="V42" s="116">
        <f t="shared" si="5"/>
        <v>122</v>
      </c>
    </row>
    <row r="43" spans="1:22" ht="15">
      <c r="A43" s="180" t="s">
        <v>163</v>
      </c>
      <c r="B43" s="181">
        <v>43511</v>
      </c>
      <c r="C43" s="180" t="s">
        <v>164</v>
      </c>
      <c r="D43" s="182">
        <v>176</v>
      </c>
      <c r="F43" s="180"/>
      <c r="K43" s="181">
        <v>43537</v>
      </c>
      <c r="M43" s="183">
        <f t="shared" si="0"/>
        <v>43552</v>
      </c>
      <c r="N43" s="181">
        <v>43552</v>
      </c>
      <c r="O43" s="10">
        <f>+K43-M43</f>
        <v>-15</v>
      </c>
      <c r="P43" s="10">
        <f t="shared" si="1"/>
        <v>0</v>
      </c>
      <c r="Q43" s="10">
        <f>+N43-K43</f>
        <v>15</v>
      </c>
      <c r="R43" s="10">
        <f t="shared" si="2"/>
        <v>-15</v>
      </c>
      <c r="S43" s="2">
        <v>29</v>
      </c>
      <c r="T43" s="8">
        <f t="shared" si="3"/>
        <v>0</v>
      </c>
      <c r="U43" s="8">
        <f t="shared" si="4"/>
        <v>-2640</v>
      </c>
      <c r="V43" s="116">
        <f t="shared" si="5"/>
        <v>129</v>
      </c>
    </row>
    <row r="44" spans="1:22" ht="15">
      <c r="A44" s="180" t="s">
        <v>165</v>
      </c>
      <c r="B44" s="181">
        <v>43501</v>
      </c>
      <c r="C44" s="180" t="s">
        <v>166</v>
      </c>
      <c r="D44" s="182">
        <v>534.69</v>
      </c>
      <c r="F44" s="180"/>
      <c r="K44" s="181">
        <v>43537</v>
      </c>
      <c r="M44" s="183">
        <f t="shared" si="0"/>
        <v>43534</v>
      </c>
      <c r="N44" s="181">
        <v>43534</v>
      </c>
      <c r="O44" s="10">
        <f>+K44-M44</f>
        <v>3</v>
      </c>
      <c r="P44" s="10">
        <f t="shared" si="1"/>
        <v>0</v>
      </c>
      <c r="Q44" s="10">
        <f>+N44-K44</f>
        <v>-3</v>
      </c>
      <c r="R44" s="10">
        <f t="shared" si="2"/>
        <v>-33</v>
      </c>
      <c r="S44" s="2">
        <v>21</v>
      </c>
      <c r="T44" s="8">
        <f t="shared" si="3"/>
        <v>0</v>
      </c>
      <c r="U44" s="8">
        <f t="shared" si="4"/>
        <v>-17644.77</v>
      </c>
      <c r="V44" s="116">
        <f t="shared" si="5"/>
        <v>121</v>
      </c>
    </row>
    <row r="45" spans="1:22" ht="15">
      <c r="A45" s="180" t="s">
        <v>167</v>
      </c>
      <c r="B45" s="181">
        <v>43509</v>
      </c>
      <c r="C45" s="180" t="s">
        <v>168</v>
      </c>
      <c r="D45" s="182">
        <v>50</v>
      </c>
      <c r="F45" s="180"/>
      <c r="K45" s="181">
        <v>43509</v>
      </c>
      <c r="M45" s="183">
        <f t="shared" si="0"/>
        <v>43504</v>
      </c>
      <c r="N45" s="181">
        <v>43504</v>
      </c>
      <c r="O45" s="10">
        <f>+K45-M45</f>
        <v>5</v>
      </c>
      <c r="P45" s="10">
        <f t="shared" si="1"/>
        <v>0</v>
      </c>
      <c r="Q45" s="10">
        <f>+N45-K45</f>
        <v>-5</v>
      </c>
      <c r="R45" s="10">
        <f t="shared" si="2"/>
        <v>-35</v>
      </c>
      <c r="S45" s="2">
        <v>29</v>
      </c>
      <c r="T45" s="8">
        <f t="shared" si="3"/>
        <v>0</v>
      </c>
      <c r="U45" s="8">
        <f t="shared" si="4"/>
        <v>-1750</v>
      </c>
      <c r="V45" s="116">
        <f t="shared" si="5"/>
        <v>129</v>
      </c>
    </row>
    <row r="46" spans="1:22" ht="15">
      <c r="A46" s="180" t="s">
        <v>169</v>
      </c>
      <c r="B46" s="181">
        <v>43518</v>
      </c>
      <c r="C46" s="180" t="s">
        <v>170</v>
      </c>
      <c r="D46" s="182">
        <v>50</v>
      </c>
      <c r="F46" s="180"/>
      <c r="K46" s="181">
        <v>43518</v>
      </c>
      <c r="M46" s="183">
        <f t="shared" si="0"/>
        <v>43516</v>
      </c>
      <c r="N46" s="181">
        <v>43516</v>
      </c>
      <c r="O46" s="10">
        <f>+K46-M46</f>
        <v>2</v>
      </c>
      <c r="P46" s="10">
        <f t="shared" si="1"/>
        <v>0</v>
      </c>
      <c r="Q46" s="10">
        <f>+N46-K46</f>
        <v>-2</v>
      </c>
      <c r="R46" s="10">
        <f t="shared" si="2"/>
        <v>-32</v>
      </c>
      <c r="S46" s="2">
        <v>29</v>
      </c>
      <c r="T46" s="8">
        <f t="shared" si="3"/>
        <v>0</v>
      </c>
      <c r="U46" s="8">
        <f t="shared" si="4"/>
        <v>-1600</v>
      </c>
      <c r="V46" s="116">
        <f t="shared" si="5"/>
        <v>129</v>
      </c>
    </row>
    <row r="47" spans="1:22" ht="15">
      <c r="A47" s="180" t="s">
        <v>171</v>
      </c>
      <c r="B47" s="181">
        <v>43509</v>
      </c>
      <c r="C47" s="180" t="s">
        <v>172</v>
      </c>
      <c r="D47" s="182">
        <v>50</v>
      </c>
      <c r="F47" s="180"/>
      <c r="K47" s="181">
        <v>43509</v>
      </c>
      <c r="M47" s="183">
        <f t="shared" si="0"/>
        <v>43504</v>
      </c>
      <c r="N47" s="181">
        <v>43504</v>
      </c>
      <c r="O47" s="10">
        <f>+K47-M47</f>
        <v>5</v>
      </c>
      <c r="P47" s="10">
        <f t="shared" si="1"/>
        <v>0</v>
      </c>
      <c r="Q47" s="10">
        <f>+N47-K47</f>
        <v>-5</v>
      </c>
      <c r="R47" s="10">
        <f t="shared" si="2"/>
        <v>-35</v>
      </c>
      <c r="S47" s="2">
        <v>29</v>
      </c>
      <c r="T47" s="8">
        <f t="shared" si="3"/>
        <v>0</v>
      </c>
      <c r="U47" s="8">
        <f t="shared" si="4"/>
        <v>-1750</v>
      </c>
      <c r="V47" s="116">
        <f t="shared" si="5"/>
        <v>129</v>
      </c>
    </row>
    <row r="48" spans="1:22" ht="15">
      <c r="A48" s="180" t="s">
        <v>173</v>
      </c>
      <c r="B48" s="181">
        <v>43511</v>
      </c>
      <c r="C48" s="180" t="s">
        <v>174</v>
      </c>
      <c r="D48" s="182">
        <v>202.5</v>
      </c>
      <c r="F48" s="180"/>
      <c r="K48" s="181">
        <v>43535</v>
      </c>
      <c r="M48" s="183">
        <f t="shared" si="0"/>
        <v>43535</v>
      </c>
      <c r="N48" s="181">
        <v>43535</v>
      </c>
      <c r="O48" s="10">
        <f>+K48-M48</f>
        <v>0</v>
      </c>
      <c r="P48" s="10">
        <f t="shared" si="1"/>
        <v>0</v>
      </c>
      <c r="Q48" s="10">
        <f>+N48-K48</f>
        <v>0</v>
      </c>
      <c r="R48" s="10">
        <f t="shared" si="2"/>
        <v>-30</v>
      </c>
      <c r="S48" s="2">
        <v>29</v>
      </c>
      <c r="T48" s="8">
        <f t="shared" si="3"/>
        <v>0</v>
      </c>
      <c r="U48" s="8">
        <f t="shared" si="4"/>
        <v>-6075</v>
      </c>
      <c r="V48" s="116">
        <f t="shared" si="5"/>
        <v>129</v>
      </c>
    </row>
    <row r="49" spans="1:22" ht="15">
      <c r="A49" s="180" t="s">
        <v>175</v>
      </c>
      <c r="B49" s="181">
        <v>43509</v>
      </c>
      <c r="C49" s="180" t="s">
        <v>176</v>
      </c>
      <c r="D49" s="182">
        <v>46.44</v>
      </c>
      <c r="F49" s="180"/>
      <c r="K49" s="181">
        <v>43537</v>
      </c>
      <c r="M49" s="183">
        <f t="shared" si="0"/>
        <v>43517</v>
      </c>
      <c r="N49" s="181">
        <v>43517</v>
      </c>
      <c r="O49" s="10">
        <f>+K49-M49</f>
        <v>20</v>
      </c>
      <c r="P49" s="10">
        <f t="shared" si="1"/>
        <v>0</v>
      </c>
      <c r="Q49" s="10">
        <f>+N49-K49</f>
        <v>-20</v>
      </c>
      <c r="R49" s="10">
        <f t="shared" si="2"/>
        <v>-50</v>
      </c>
      <c r="S49" s="2">
        <v>29</v>
      </c>
      <c r="T49" s="8">
        <f t="shared" si="3"/>
        <v>0</v>
      </c>
      <c r="U49" s="8">
        <f t="shared" si="4"/>
        <v>-2322</v>
      </c>
      <c r="V49" s="116">
        <f t="shared" si="5"/>
        <v>129</v>
      </c>
    </row>
    <row r="50" spans="1:22" ht="15">
      <c r="A50" s="180" t="s">
        <v>177</v>
      </c>
      <c r="B50" s="181">
        <v>43522</v>
      </c>
      <c r="C50" s="180" t="s">
        <v>178</v>
      </c>
      <c r="D50" s="182">
        <v>500</v>
      </c>
      <c r="F50" s="180"/>
      <c r="K50" s="181">
        <v>43525</v>
      </c>
      <c r="M50" s="183">
        <f t="shared" si="0"/>
        <v>43525</v>
      </c>
      <c r="N50" s="181">
        <v>43525</v>
      </c>
      <c r="O50" s="10">
        <f>+K50-M50</f>
        <v>0</v>
      </c>
      <c r="P50" s="10">
        <f t="shared" si="1"/>
        <v>0</v>
      </c>
      <c r="Q50" s="10">
        <f>+N50-K50</f>
        <v>0</v>
      </c>
      <c r="R50" s="10">
        <f t="shared" si="2"/>
        <v>-30</v>
      </c>
      <c r="S50" s="2">
        <v>29</v>
      </c>
      <c r="T50" s="8">
        <f t="shared" si="3"/>
        <v>0</v>
      </c>
      <c r="U50" s="8">
        <f t="shared" si="4"/>
        <v>-15000</v>
      </c>
      <c r="V50" s="116">
        <f t="shared" si="5"/>
        <v>129</v>
      </c>
    </row>
    <row r="51" spans="1:22" ht="15">
      <c r="A51" s="180" t="s">
        <v>179</v>
      </c>
      <c r="B51" s="181">
        <v>43496</v>
      </c>
      <c r="C51" s="180" t="s">
        <v>180</v>
      </c>
      <c r="D51" s="182">
        <v>464.86</v>
      </c>
      <c r="F51" s="180"/>
      <c r="K51" s="181">
        <v>43522</v>
      </c>
      <c r="M51" s="183">
        <f t="shared" si="0"/>
        <v>43522</v>
      </c>
      <c r="N51" s="181">
        <v>43522</v>
      </c>
      <c r="O51" s="10">
        <f>+K51-M51</f>
        <v>0</v>
      </c>
      <c r="P51" s="10">
        <f t="shared" si="1"/>
        <v>0</v>
      </c>
      <c r="Q51" s="10">
        <f>+N51-K51</f>
        <v>0</v>
      </c>
      <c r="R51" s="10">
        <f t="shared" si="2"/>
        <v>-30</v>
      </c>
      <c r="S51" s="2">
        <v>29</v>
      </c>
      <c r="T51" s="8">
        <f t="shared" si="3"/>
        <v>0</v>
      </c>
      <c r="U51" s="8">
        <f t="shared" si="4"/>
        <v>-13945.800000000001</v>
      </c>
      <c r="V51" s="116">
        <f t="shared" si="5"/>
        <v>129</v>
      </c>
    </row>
    <row r="52" spans="1:22" ht="15">
      <c r="A52" s="180" t="s">
        <v>181</v>
      </c>
      <c r="B52" s="181">
        <v>43466</v>
      </c>
      <c r="C52" s="180" t="s">
        <v>182</v>
      </c>
      <c r="D52" s="182">
        <v>114.96</v>
      </c>
      <c r="F52" s="180"/>
      <c r="K52" s="181">
        <v>43466</v>
      </c>
      <c r="M52" s="183">
        <f t="shared" si="0"/>
        <v>43490</v>
      </c>
      <c r="N52" s="181">
        <v>43490</v>
      </c>
      <c r="O52" s="10">
        <f>+K52-M52</f>
        <v>-24</v>
      </c>
      <c r="P52" s="10">
        <f t="shared" si="1"/>
        <v>0</v>
      </c>
      <c r="Q52" s="10">
        <f>+N52-K52</f>
        <v>24</v>
      </c>
      <c r="R52" s="10">
        <f t="shared" si="2"/>
        <v>-6</v>
      </c>
      <c r="S52" s="2">
        <v>21</v>
      </c>
      <c r="T52" s="8">
        <f t="shared" si="3"/>
        <v>0</v>
      </c>
      <c r="U52" s="8">
        <f t="shared" si="4"/>
        <v>-689.76</v>
      </c>
      <c r="V52" s="116">
        <f t="shared" si="5"/>
        <v>121</v>
      </c>
    </row>
    <row r="53" spans="1:22" ht="15">
      <c r="A53" s="180" t="s">
        <v>183</v>
      </c>
      <c r="B53" s="181">
        <v>43495</v>
      </c>
      <c r="C53" s="180" t="s">
        <v>184</v>
      </c>
      <c r="D53" s="182">
        <v>25.81</v>
      </c>
      <c r="F53" s="180"/>
      <c r="K53" s="181">
        <v>43495</v>
      </c>
      <c r="M53" s="183">
        <f t="shared" si="0"/>
        <v>43514</v>
      </c>
      <c r="N53" s="181">
        <v>43514</v>
      </c>
      <c r="O53" s="10">
        <f>+K53-M53</f>
        <v>-19</v>
      </c>
      <c r="P53" s="10">
        <f t="shared" si="1"/>
        <v>0</v>
      </c>
      <c r="Q53" s="10">
        <f>+N53-K53</f>
        <v>19</v>
      </c>
      <c r="R53" s="10">
        <f t="shared" si="2"/>
        <v>-11</v>
      </c>
      <c r="S53" s="2">
        <v>29</v>
      </c>
      <c r="T53" s="8">
        <f t="shared" si="3"/>
        <v>0</v>
      </c>
      <c r="U53" s="8">
        <f t="shared" si="4"/>
        <v>-283.90999999999997</v>
      </c>
      <c r="V53" s="116">
        <f t="shared" si="5"/>
        <v>129</v>
      </c>
    </row>
    <row r="54" spans="1:22" ht="15">
      <c r="A54" s="180" t="s">
        <v>185</v>
      </c>
      <c r="B54" s="181">
        <v>43495</v>
      </c>
      <c r="C54" s="180" t="s">
        <v>186</v>
      </c>
      <c r="D54" s="182">
        <v>17.15</v>
      </c>
      <c r="F54" s="180"/>
      <c r="K54" s="181">
        <v>43495</v>
      </c>
      <c r="M54" s="183">
        <f t="shared" si="0"/>
        <v>43514</v>
      </c>
      <c r="N54" s="181">
        <v>43514</v>
      </c>
      <c r="O54" s="10">
        <f>+K54-M54</f>
        <v>-19</v>
      </c>
      <c r="P54" s="10">
        <f t="shared" si="1"/>
        <v>0</v>
      </c>
      <c r="Q54" s="10">
        <f>+N54-K54</f>
        <v>19</v>
      </c>
      <c r="R54" s="10">
        <f t="shared" si="2"/>
        <v>-11</v>
      </c>
      <c r="S54" s="2">
        <v>29</v>
      </c>
      <c r="T54" s="8">
        <f t="shared" si="3"/>
        <v>0</v>
      </c>
      <c r="U54" s="8">
        <f t="shared" si="4"/>
        <v>-188.64999999999998</v>
      </c>
      <c r="V54" s="116">
        <f t="shared" si="5"/>
        <v>129</v>
      </c>
    </row>
    <row r="55" spans="1:22" ht="15">
      <c r="A55" s="180" t="s">
        <v>187</v>
      </c>
      <c r="B55" s="181">
        <v>43495</v>
      </c>
      <c r="C55" s="180" t="s">
        <v>188</v>
      </c>
      <c r="D55" s="182">
        <v>37.51</v>
      </c>
      <c r="F55" s="180"/>
      <c r="K55" s="181">
        <v>43495</v>
      </c>
      <c r="M55" s="183">
        <f t="shared" si="0"/>
        <v>43514</v>
      </c>
      <c r="N55" s="181">
        <v>43514</v>
      </c>
      <c r="O55" s="10">
        <f>+K55-M55</f>
        <v>-19</v>
      </c>
      <c r="P55" s="10">
        <f t="shared" si="1"/>
        <v>0</v>
      </c>
      <c r="Q55" s="10">
        <f>+N55-K55</f>
        <v>19</v>
      </c>
      <c r="R55" s="10">
        <f t="shared" si="2"/>
        <v>-11</v>
      </c>
      <c r="S55" s="2">
        <v>29</v>
      </c>
      <c r="T55" s="8">
        <f t="shared" si="3"/>
        <v>0</v>
      </c>
      <c r="U55" s="8">
        <f t="shared" si="4"/>
        <v>-412.60999999999996</v>
      </c>
      <c r="V55" s="116">
        <f t="shared" si="5"/>
        <v>129</v>
      </c>
    </row>
    <row r="56" spans="1:22" ht="15">
      <c r="A56" s="180" t="s">
        <v>189</v>
      </c>
      <c r="B56" s="181">
        <v>43495</v>
      </c>
      <c r="C56" s="180" t="s">
        <v>190</v>
      </c>
      <c r="D56" s="182">
        <v>22.34</v>
      </c>
      <c r="F56" s="180"/>
      <c r="K56" s="181">
        <v>43495</v>
      </c>
      <c r="M56" s="183">
        <f t="shared" si="0"/>
        <v>43514</v>
      </c>
      <c r="N56" s="181">
        <v>43514</v>
      </c>
      <c r="O56" s="10">
        <f>+K56-M56</f>
        <v>-19</v>
      </c>
      <c r="P56" s="10">
        <f t="shared" si="1"/>
        <v>0</v>
      </c>
      <c r="Q56" s="10">
        <f>+N56-K56</f>
        <v>19</v>
      </c>
      <c r="R56" s="10">
        <f t="shared" si="2"/>
        <v>-11</v>
      </c>
      <c r="S56" s="2">
        <v>29</v>
      </c>
      <c r="T56" s="8">
        <f t="shared" si="3"/>
        <v>0</v>
      </c>
      <c r="U56" s="8">
        <f t="shared" si="4"/>
        <v>-245.74</v>
      </c>
      <c r="V56" s="116">
        <f t="shared" si="5"/>
        <v>129</v>
      </c>
    </row>
    <row r="57" spans="1:22" ht="15">
      <c r="A57" s="180" t="s">
        <v>191</v>
      </c>
      <c r="B57" s="181">
        <v>43495</v>
      </c>
      <c r="C57" s="180" t="s">
        <v>192</v>
      </c>
      <c r="D57" s="182">
        <v>31.75</v>
      </c>
      <c r="F57" s="180"/>
      <c r="K57" s="181">
        <v>43495</v>
      </c>
      <c r="M57" s="183">
        <f t="shared" si="0"/>
        <v>43514</v>
      </c>
      <c r="N57" s="181">
        <v>43514</v>
      </c>
      <c r="O57" s="10">
        <f>+K57-M57</f>
        <v>-19</v>
      </c>
      <c r="P57" s="10">
        <f t="shared" si="1"/>
        <v>0</v>
      </c>
      <c r="Q57" s="10">
        <f>+N57-K57</f>
        <v>19</v>
      </c>
      <c r="R57" s="10">
        <f t="shared" si="2"/>
        <v>-11</v>
      </c>
      <c r="S57" s="2">
        <v>29</v>
      </c>
      <c r="T57" s="8">
        <f t="shared" si="3"/>
        <v>0</v>
      </c>
      <c r="U57" s="8">
        <f t="shared" si="4"/>
        <v>-349.25</v>
      </c>
      <c r="V57" s="116">
        <f t="shared" si="5"/>
        <v>129</v>
      </c>
    </row>
    <row r="58" spans="1:22" ht="15">
      <c r="A58" s="180" t="s">
        <v>193</v>
      </c>
      <c r="B58" s="181">
        <v>43495</v>
      </c>
      <c r="C58" s="180" t="s">
        <v>194</v>
      </c>
      <c r="D58" s="182">
        <v>15.69</v>
      </c>
      <c r="F58" s="180"/>
      <c r="K58" s="181">
        <v>43495</v>
      </c>
      <c r="M58" s="183">
        <f t="shared" si="0"/>
        <v>43514</v>
      </c>
      <c r="N58" s="181">
        <v>43514</v>
      </c>
      <c r="O58" s="10">
        <f>+K58-M58</f>
        <v>-19</v>
      </c>
      <c r="P58" s="10">
        <f t="shared" si="1"/>
        <v>0</v>
      </c>
      <c r="Q58" s="10">
        <f>+N58-K58</f>
        <v>19</v>
      </c>
      <c r="R58" s="10">
        <f t="shared" si="2"/>
        <v>-11</v>
      </c>
      <c r="S58" s="2">
        <v>29</v>
      </c>
      <c r="T58" s="8">
        <f t="shared" si="3"/>
        <v>0</v>
      </c>
      <c r="U58" s="8">
        <f t="shared" si="4"/>
        <v>-172.59</v>
      </c>
      <c r="V58" s="116">
        <f t="shared" si="5"/>
        <v>129</v>
      </c>
    </row>
    <row r="59" spans="1:22" ht="15">
      <c r="A59" s="180" t="s">
        <v>195</v>
      </c>
      <c r="B59" s="181">
        <v>43496</v>
      </c>
      <c r="C59" s="180" t="s">
        <v>196</v>
      </c>
      <c r="D59" s="182">
        <v>1108.17</v>
      </c>
      <c r="F59" s="180"/>
      <c r="K59" s="181">
        <v>43496</v>
      </c>
      <c r="M59" s="183">
        <f t="shared" si="0"/>
        <v>43496</v>
      </c>
      <c r="N59" s="181">
        <v>43496</v>
      </c>
      <c r="O59" s="10">
        <f>+K59-M59</f>
        <v>0</v>
      </c>
      <c r="P59" s="10">
        <f t="shared" si="1"/>
        <v>0</v>
      </c>
      <c r="Q59" s="10">
        <f>+N59-K59</f>
        <v>0</v>
      </c>
      <c r="R59" s="10">
        <f t="shared" si="2"/>
        <v>-30</v>
      </c>
      <c r="S59" s="2">
        <v>29</v>
      </c>
      <c r="T59" s="8">
        <f t="shared" si="3"/>
        <v>0</v>
      </c>
      <c r="U59" s="8">
        <f t="shared" si="4"/>
        <v>-33245.100000000006</v>
      </c>
      <c r="V59" s="116">
        <f t="shared" si="5"/>
        <v>129</v>
      </c>
    </row>
    <row r="60" spans="1:22" ht="15">
      <c r="A60" s="180" t="s">
        <v>197</v>
      </c>
      <c r="B60" s="181">
        <v>43496</v>
      </c>
      <c r="C60" s="180" t="s">
        <v>106</v>
      </c>
      <c r="D60" s="182">
        <v>152.75</v>
      </c>
      <c r="F60" s="180"/>
      <c r="K60" s="181">
        <v>43511</v>
      </c>
      <c r="M60" s="183">
        <f t="shared" si="0"/>
        <v>43511</v>
      </c>
      <c r="N60" s="181">
        <v>43511</v>
      </c>
      <c r="O60" s="10">
        <f>+K60-M60</f>
        <v>0</v>
      </c>
      <c r="P60" s="10">
        <f t="shared" si="1"/>
        <v>0</v>
      </c>
      <c r="Q60" s="10">
        <f>+N60-K60</f>
        <v>0</v>
      </c>
      <c r="R60" s="10">
        <f t="shared" si="2"/>
        <v>-30</v>
      </c>
      <c r="S60" s="2">
        <v>29</v>
      </c>
      <c r="T60" s="8">
        <f t="shared" si="3"/>
        <v>0</v>
      </c>
      <c r="U60" s="8">
        <f t="shared" si="4"/>
        <v>-4582.5</v>
      </c>
      <c r="V60" s="116">
        <f t="shared" si="5"/>
        <v>129</v>
      </c>
    </row>
    <row r="61" spans="1:22" ht="15">
      <c r="A61" s="180" t="s">
        <v>198</v>
      </c>
      <c r="B61" s="181">
        <v>43524</v>
      </c>
      <c r="C61" s="180" t="s">
        <v>126</v>
      </c>
      <c r="D61" s="182">
        <v>4320</v>
      </c>
      <c r="F61" s="180"/>
      <c r="K61" s="181">
        <v>43524</v>
      </c>
      <c r="M61" s="183">
        <f t="shared" si="0"/>
        <v>43524</v>
      </c>
      <c r="N61" s="181">
        <v>43524</v>
      </c>
      <c r="O61" s="10">
        <f>+K61-M61</f>
        <v>0</v>
      </c>
      <c r="P61" s="10">
        <f t="shared" si="1"/>
        <v>0</v>
      </c>
      <c r="Q61" s="10">
        <f>+N61-K61</f>
        <v>0</v>
      </c>
      <c r="R61" s="10">
        <f t="shared" si="2"/>
        <v>-30</v>
      </c>
      <c r="S61" s="2">
        <v>29</v>
      </c>
      <c r="T61" s="8">
        <f t="shared" si="3"/>
        <v>0</v>
      </c>
      <c r="U61" s="8">
        <f t="shared" si="4"/>
        <v>-129600</v>
      </c>
      <c r="V61" s="116">
        <f t="shared" si="5"/>
        <v>129</v>
      </c>
    </row>
    <row r="62" spans="1:22" ht="15">
      <c r="A62" s="180" t="s">
        <v>199</v>
      </c>
      <c r="B62" s="181">
        <v>43489</v>
      </c>
      <c r="C62" s="180" t="s">
        <v>200</v>
      </c>
      <c r="D62" s="182">
        <v>158.13</v>
      </c>
      <c r="F62" s="180"/>
      <c r="K62" s="181">
        <v>43511</v>
      </c>
      <c r="M62" s="183">
        <f t="shared" si="0"/>
        <v>43511</v>
      </c>
      <c r="N62" s="181">
        <v>43511</v>
      </c>
      <c r="O62" s="10">
        <f>+K62-M62</f>
        <v>0</v>
      </c>
      <c r="P62" s="10">
        <f t="shared" si="1"/>
        <v>0</v>
      </c>
      <c r="Q62" s="10">
        <f>+N62-K62</f>
        <v>0</v>
      </c>
      <c r="R62" s="10">
        <f t="shared" si="2"/>
        <v>-30</v>
      </c>
      <c r="S62" s="2">
        <v>21</v>
      </c>
      <c r="T62" s="8">
        <f t="shared" si="3"/>
        <v>0</v>
      </c>
      <c r="U62" s="8">
        <f t="shared" si="4"/>
        <v>-4743.9</v>
      </c>
      <c r="V62" s="116">
        <f t="shared" si="5"/>
        <v>121</v>
      </c>
    </row>
    <row r="63" spans="1:22" ht="15">
      <c r="A63" s="180" t="s">
        <v>201</v>
      </c>
      <c r="B63" s="181">
        <v>43481</v>
      </c>
      <c r="C63" s="180" t="s">
        <v>202</v>
      </c>
      <c r="D63" s="182">
        <v>34</v>
      </c>
      <c r="F63" s="180"/>
      <c r="K63" s="181">
        <v>43511</v>
      </c>
      <c r="M63" s="183">
        <f t="shared" si="0"/>
        <v>43511</v>
      </c>
      <c r="N63" s="181">
        <v>43511</v>
      </c>
      <c r="O63" s="10">
        <f>+K63-M63</f>
        <v>0</v>
      </c>
      <c r="P63" s="10">
        <f t="shared" si="1"/>
        <v>0</v>
      </c>
      <c r="Q63" s="10">
        <f>+N63-K63</f>
        <v>0</v>
      </c>
      <c r="R63" s="10">
        <f t="shared" si="2"/>
        <v>-30</v>
      </c>
      <c r="S63" s="2">
        <v>29</v>
      </c>
      <c r="T63" s="8">
        <f t="shared" si="3"/>
        <v>0</v>
      </c>
      <c r="U63" s="8">
        <f t="shared" si="4"/>
        <v>-1020</v>
      </c>
      <c r="V63" s="116">
        <f t="shared" si="5"/>
        <v>129</v>
      </c>
    </row>
    <row r="64" spans="1:22" ht="15">
      <c r="A64" s="180" t="s">
        <v>203</v>
      </c>
      <c r="B64" s="181">
        <v>43487</v>
      </c>
      <c r="C64" s="180" t="s">
        <v>204</v>
      </c>
      <c r="D64" s="182">
        <v>5601.88</v>
      </c>
      <c r="F64" s="180"/>
      <c r="K64" s="181">
        <v>43511</v>
      </c>
      <c r="M64" s="183">
        <f t="shared" si="0"/>
        <v>43511</v>
      </c>
      <c r="N64" s="181">
        <v>43511</v>
      </c>
      <c r="O64" s="10">
        <f>+K64-M64</f>
        <v>0</v>
      </c>
      <c r="P64" s="10">
        <f t="shared" si="1"/>
        <v>0</v>
      </c>
      <c r="Q64" s="10">
        <f>+N64-K64</f>
        <v>0</v>
      </c>
      <c r="R64" s="10">
        <f t="shared" si="2"/>
        <v>-30</v>
      </c>
      <c r="S64" s="2">
        <v>29</v>
      </c>
      <c r="T64" s="8">
        <f t="shared" si="3"/>
        <v>0</v>
      </c>
      <c r="U64" s="8">
        <f t="shared" si="4"/>
        <v>-168056.4</v>
      </c>
      <c r="V64" s="116">
        <f t="shared" si="5"/>
        <v>129</v>
      </c>
    </row>
    <row r="65" spans="1:22" ht="15">
      <c r="A65" s="180" t="s">
        <v>205</v>
      </c>
      <c r="B65" s="181">
        <v>43469</v>
      </c>
      <c r="C65" s="180" t="s">
        <v>206</v>
      </c>
      <c r="D65" s="182">
        <v>32.85</v>
      </c>
      <c r="F65" s="180"/>
      <c r="K65" s="181">
        <v>43511</v>
      </c>
      <c r="M65" s="183">
        <f t="shared" si="0"/>
        <v>43511</v>
      </c>
      <c r="N65" s="181">
        <v>43511</v>
      </c>
      <c r="O65" s="10">
        <f>+K65-M65</f>
        <v>0</v>
      </c>
      <c r="P65" s="10">
        <f t="shared" si="1"/>
        <v>0</v>
      </c>
      <c r="Q65" s="10">
        <f>+N65-K65</f>
        <v>0</v>
      </c>
      <c r="R65" s="10">
        <f t="shared" si="2"/>
        <v>-30</v>
      </c>
      <c r="S65" s="2">
        <v>21</v>
      </c>
      <c r="T65" s="8">
        <f t="shared" si="3"/>
        <v>0</v>
      </c>
      <c r="U65" s="8">
        <f t="shared" si="4"/>
        <v>-985.5</v>
      </c>
      <c r="V65" s="116">
        <f t="shared" si="5"/>
        <v>121</v>
      </c>
    </row>
    <row r="66" spans="1:22" ht="15">
      <c r="A66" s="180" t="s">
        <v>207</v>
      </c>
      <c r="B66" s="181">
        <v>43480</v>
      </c>
      <c r="C66" s="180" t="s">
        <v>208</v>
      </c>
      <c r="D66" s="182">
        <v>368.85</v>
      </c>
      <c r="F66" s="180"/>
      <c r="K66" s="181">
        <v>43511</v>
      </c>
      <c r="M66" s="183">
        <f t="shared" si="0"/>
        <v>43511</v>
      </c>
      <c r="N66" s="181">
        <v>43511</v>
      </c>
      <c r="O66" s="10">
        <f>+K66-M66</f>
        <v>0</v>
      </c>
      <c r="P66" s="10">
        <f t="shared" si="1"/>
        <v>0</v>
      </c>
      <c r="Q66" s="10">
        <f>+N66-K66</f>
        <v>0</v>
      </c>
      <c r="R66" s="10">
        <f t="shared" si="2"/>
        <v>-30</v>
      </c>
      <c r="S66" s="2">
        <v>21</v>
      </c>
      <c r="T66" s="8">
        <f t="shared" si="3"/>
        <v>0</v>
      </c>
      <c r="U66" s="8">
        <f t="shared" si="4"/>
        <v>-11065.5</v>
      </c>
      <c r="V66" s="116">
        <f t="shared" si="5"/>
        <v>121</v>
      </c>
    </row>
    <row r="67" spans="1:22" ht="15">
      <c r="A67" s="180" t="s">
        <v>209</v>
      </c>
      <c r="B67" s="181">
        <v>43495</v>
      </c>
      <c r="C67" s="180" t="s">
        <v>210</v>
      </c>
      <c r="D67" s="182">
        <v>484</v>
      </c>
      <c r="F67" s="180"/>
      <c r="K67" s="181">
        <v>43511</v>
      </c>
      <c r="M67" s="183">
        <f t="shared" si="0"/>
        <v>43511</v>
      </c>
      <c r="N67" s="181">
        <v>43511</v>
      </c>
      <c r="O67" s="10">
        <f>+K67-M67</f>
        <v>0</v>
      </c>
      <c r="P67" s="10">
        <f t="shared" si="1"/>
        <v>0</v>
      </c>
      <c r="Q67" s="10">
        <f>+N67-K67</f>
        <v>0</v>
      </c>
      <c r="R67" s="10">
        <f t="shared" si="2"/>
        <v>-30</v>
      </c>
      <c r="S67" s="2">
        <v>29</v>
      </c>
      <c r="T67" s="8">
        <f t="shared" si="3"/>
        <v>0</v>
      </c>
      <c r="U67" s="8">
        <f t="shared" si="4"/>
        <v>-14520</v>
      </c>
      <c r="V67" s="116">
        <f t="shared" si="5"/>
        <v>129</v>
      </c>
    </row>
    <row r="68" spans="1:22" ht="15">
      <c r="A68" s="180" t="s">
        <v>211</v>
      </c>
      <c r="B68" s="181">
        <v>43496</v>
      </c>
      <c r="C68" s="180" t="s">
        <v>212</v>
      </c>
      <c r="D68" s="182">
        <v>655.41</v>
      </c>
      <c r="F68" s="180"/>
      <c r="K68" s="181">
        <v>43511</v>
      </c>
      <c r="M68" s="183">
        <f t="shared" si="0"/>
        <v>43511</v>
      </c>
      <c r="N68" s="181">
        <v>43511</v>
      </c>
      <c r="O68" s="10">
        <f>+K68-M68</f>
        <v>0</v>
      </c>
      <c r="P68" s="10">
        <f t="shared" si="1"/>
        <v>0</v>
      </c>
      <c r="Q68" s="10">
        <f>+N68-K68</f>
        <v>0</v>
      </c>
      <c r="R68" s="10">
        <f t="shared" si="2"/>
        <v>-30</v>
      </c>
      <c r="S68" s="2">
        <v>29</v>
      </c>
      <c r="T68" s="8">
        <f t="shared" si="3"/>
        <v>0</v>
      </c>
      <c r="U68" s="8">
        <f t="shared" si="4"/>
        <v>-19662.3</v>
      </c>
      <c r="V68" s="116">
        <f t="shared" si="5"/>
        <v>129</v>
      </c>
    </row>
    <row r="69" spans="1:22" ht="15">
      <c r="A69" s="180" t="s">
        <v>213</v>
      </c>
      <c r="B69" s="181">
        <v>43496</v>
      </c>
      <c r="C69" s="180" t="s">
        <v>214</v>
      </c>
      <c r="D69" s="182">
        <v>808.28</v>
      </c>
      <c r="F69" s="180"/>
      <c r="K69" s="181">
        <v>43511</v>
      </c>
      <c r="M69" s="183">
        <f t="shared" si="0"/>
        <v>43511</v>
      </c>
      <c r="N69" s="181">
        <v>43511</v>
      </c>
      <c r="O69" s="10">
        <f>+K69-M69</f>
        <v>0</v>
      </c>
      <c r="P69" s="10">
        <f t="shared" si="1"/>
        <v>0</v>
      </c>
      <c r="Q69" s="10">
        <f>+N69-K69</f>
        <v>0</v>
      </c>
      <c r="R69" s="10">
        <f t="shared" si="2"/>
        <v>-30</v>
      </c>
      <c r="S69" s="2">
        <v>29</v>
      </c>
      <c r="T69" s="8">
        <f t="shared" si="3"/>
        <v>0</v>
      </c>
      <c r="U69" s="8">
        <f t="shared" si="4"/>
        <v>-24248.399999999998</v>
      </c>
      <c r="V69" s="116">
        <f t="shared" si="5"/>
        <v>129</v>
      </c>
    </row>
    <row r="70" spans="1:22" ht="15">
      <c r="A70" s="180" t="s">
        <v>215</v>
      </c>
      <c r="B70" s="181">
        <v>43496</v>
      </c>
      <c r="C70" s="180" t="s">
        <v>216</v>
      </c>
      <c r="D70" s="182">
        <v>163.77</v>
      </c>
      <c r="F70" s="180"/>
      <c r="K70" s="181">
        <v>43496</v>
      </c>
      <c r="M70" s="183">
        <f t="shared" si="0"/>
        <v>43502</v>
      </c>
      <c r="N70" s="181">
        <v>43502</v>
      </c>
      <c r="O70" s="10">
        <f>+K70-M70</f>
        <v>-6</v>
      </c>
      <c r="P70" s="10">
        <f t="shared" si="1"/>
        <v>0</v>
      </c>
      <c r="Q70" s="10">
        <f>+N70-K70</f>
        <v>6</v>
      </c>
      <c r="R70" s="10">
        <f t="shared" si="2"/>
        <v>-24</v>
      </c>
      <c r="S70" s="2">
        <v>29</v>
      </c>
      <c r="T70" s="8">
        <f t="shared" si="3"/>
        <v>0</v>
      </c>
      <c r="U70" s="8">
        <f t="shared" si="4"/>
        <v>-3930.4800000000005</v>
      </c>
      <c r="V70" s="116">
        <f t="shared" si="5"/>
        <v>129</v>
      </c>
    </row>
    <row r="71" spans="1:22" ht="15">
      <c r="A71" s="180" t="s">
        <v>217</v>
      </c>
      <c r="B71" s="181">
        <v>43496</v>
      </c>
      <c r="C71" s="180" t="s">
        <v>218</v>
      </c>
      <c r="D71" s="182">
        <v>1464.06</v>
      </c>
      <c r="F71" s="180"/>
      <c r="K71" s="181">
        <v>43496</v>
      </c>
      <c r="M71" s="183">
        <f aca="true" t="shared" si="6" ref="M71:M134">+N71</f>
        <v>43496</v>
      </c>
      <c r="N71" s="181">
        <v>43496</v>
      </c>
      <c r="O71" s="10">
        <f>+K71-M71</f>
        <v>0</v>
      </c>
      <c r="P71" s="10">
        <f aca="true" t="shared" si="7" ref="P71:P134">+N71-M71</f>
        <v>0</v>
      </c>
      <c r="Q71" s="10">
        <f>+N71-K71</f>
        <v>0</v>
      </c>
      <c r="R71" s="10">
        <f aca="true" t="shared" si="8" ref="R71:R134">+Q71-30</f>
        <v>-30</v>
      </c>
      <c r="S71" s="2">
        <v>29</v>
      </c>
      <c r="T71" s="8">
        <f aca="true" t="shared" si="9" ref="T71:T134">+P71*D71</f>
        <v>0</v>
      </c>
      <c r="U71" s="8">
        <f aca="true" t="shared" si="10" ref="U71:U134">+R71*D71</f>
        <v>-43921.799999999996</v>
      </c>
      <c r="V71" s="116">
        <f aca="true" t="shared" si="11" ref="V71:V134">IF(P71&gt;30,200+S71,100+S71)</f>
        <v>129</v>
      </c>
    </row>
    <row r="72" spans="1:22" ht="15">
      <c r="A72" s="180" t="s">
        <v>219</v>
      </c>
      <c r="B72" s="181">
        <v>43495</v>
      </c>
      <c r="C72" s="180" t="s">
        <v>220</v>
      </c>
      <c r="D72" s="182">
        <v>795.35</v>
      </c>
      <c r="F72" s="180"/>
      <c r="K72" s="181">
        <v>43495</v>
      </c>
      <c r="M72" s="183">
        <f t="shared" si="6"/>
        <v>43514</v>
      </c>
      <c r="N72" s="181">
        <v>43514</v>
      </c>
      <c r="O72" s="10">
        <f>+K72-M72</f>
        <v>-19</v>
      </c>
      <c r="P72" s="10">
        <f t="shared" si="7"/>
        <v>0</v>
      </c>
      <c r="Q72" s="10">
        <f>+N72-K72</f>
        <v>19</v>
      </c>
      <c r="R72" s="10">
        <f t="shared" si="8"/>
        <v>-11</v>
      </c>
      <c r="S72" s="2">
        <v>29</v>
      </c>
      <c r="T72" s="8">
        <f t="shared" si="9"/>
        <v>0</v>
      </c>
      <c r="U72" s="8">
        <f t="shared" si="10"/>
        <v>-8748.85</v>
      </c>
      <c r="V72" s="116">
        <f t="shared" si="11"/>
        <v>129</v>
      </c>
    </row>
    <row r="73" spans="1:22" ht="15">
      <c r="A73" s="180" t="s">
        <v>221</v>
      </c>
      <c r="B73" s="181">
        <v>43495</v>
      </c>
      <c r="C73" s="180" t="s">
        <v>222</v>
      </c>
      <c r="D73" s="182">
        <v>677.68</v>
      </c>
      <c r="F73" s="180"/>
      <c r="K73" s="181">
        <v>43495</v>
      </c>
      <c r="M73" s="183">
        <f t="shared" si="6"/>
        <v>43514</v>
      </c>
      <c r="N73" s="181">
        <v>43514</v>
      </c>
      <c r="O73" s="10">
        <f>+K73-M73</f>
        <v>-19</v>
      </c>
      <c r="P73" s="10">
        <f t="shared" si="7"/>
        <v>0</v>
      </c>
      <c r="Q73" s="10">
        <f>+N73-K73</f>
        <v>19</v>
      </c>
      <c r="R73" s="10">
        <f t="shared" si="8"/>
        <v>-11</v>
      </c>
      <c r="S73" s="2">
        <v>29</v>
      </c>
      <c r="T73" s="8">
        <f t="shared" si="9"/>
        <v>0</v>
      </c>
      <c r="U73" s="8">
        <f t="shared" si="10"/>
        <v>-7454.48</v>
      </c>
      <c r="V73" s="116">
        <f t="shared" si="11"/>
        <v>129</v>
      </c>
    </row>
    <row r="74" spans="1:22" ht="15">
      <c r="A74" s="180" t="s">
        <v>223</v>
      </c>
      <c r="B74" s="181">
        <v>43495</v>
      </c>
      <c r="C74" s="180" t="s">
        <v>224</v>
      </c>
      <c r="D74" s="182">
        <v>531.19</v>
      </c>
      <c r="F74" s="180"/>
      <c r="K74" s="181">
        <v>43495</v>
      </c>
      <c r="M74" s="183">
        <f t="shared" si="6"/>
        <v>43514</v>
      </c>
      <c r="N74" s="181">
        <v>43514</v>
      </c>
      <c r="O74" s="10">
        <f>+K74-M74</f>
        <v>-19</v>
      </c>
      <c r="P74" s="10">
        <f t="shared" si="7"/>
        <v>0</v>
      </c>
      <c r="Q74" s="10">
        <f>+N74-K74</f>
        <v>19</v>
      </c>
      <c r="R74" s="10">
        <f t="shared" si="8"/>
        <v>-11</v>
      </c>
      <c r="S74" s="2">
        <v>29</v>
      </c>
      <c r="T74" s="8">
        <f t="shared" si="9"/>
        <v>0</v>
      </c>
      <c r="U74" s="8">
        <f t="shared" si="10"/>
        <v>-5843.09</v>
      </c>
      <c r="V74" s="116">
        <f t="shared" si="11"/>
        <v>129</v>
      </c>
    </row>
    <row r="75" spans="1:22" ht="15">
      <c r="A75" s="180" t="s">
        <v>225</v>
      </c>
      <c r="B75" s="181">
        <v>43495</v>
      </c>
      <c r="C75" s="180" t="s">
        <v>226</v>
      </c>
      <c r="D75" s="182">
        <v>493.09</v>
      </c>
      <c r="F75" s="180"/>
      <c r="K75" s="181">
        <v>43495</v>
      </c>
      <c r="M75" s="183">
        <f t="shared" si="6"/>
        <v>43514</v>
      </c>
      <c r="N75" s="181">
        <v>43514</v>
      </c>
      <c r="O75" s="10">
        <f>+K75-M75</f>
        <v>-19</v>
      </c>
      <c r="P75" s="10">
        <f t="shared" si="7"/>
        <v>0</v>
      </c>
      <c r="Q75" s="10">
        <f>+N75-K75</f>
        <v>19</v>
      </c>
      <c r="R75" s="10">
        <f t="shared" si="8"/>
        <v>-11</v>
      </c>
      <c r="S75" s="2">
        <v>29</v>
      </c>
      <c r="T75" s="8">
        <f t="shared" si="9"/>
        <v>0</v>
      </c>
      <c r="U75" s="8">
        <f t="shared" si="10"/>
        <v>-5423.99</v>
      </c>
      <c r="V75" s="116">
        <f t="shared" si="11"/>
        <v>129</v>
      </c>
    </row>
    <row r="76" spans="1:22" ht="15">
      <c r="A76" s="180" t="s">
        <v>227</v>
      </c>
      <c r="B76" s="181">
        <v>43496</v>
      </c>
      <c r="C76" s="180" t="s">
        <v>228</v>
      </c>
      <c r="D76" s="182">
        <v>1989.85</v>
      </c>
      <c r="F76" s="180"/>
      <c r="K76" s="181">
        <v>43524</v>
      </c>
      <c r="M76" s="183">
        <f t="shared" si="6"/>
        <v>43524</v>
      </c>
      <c r="N76" s="181">
        <v>43524</v>
      </c>
      <c r="O76" s="10">
        <f>+K76-M76</f>
        <v>0</v>
      </c>
      <c r="P76" s="10">
        <f t="shared" si="7"/>
        <v>0</v>
      </c>
      <c r="Q76" s="10">
        <f>+N76-K76</f>
        <v>0</v>
      </c>
      <c r="R76" s="10">
        <f t="shared" si="8"/>
        <v>-30</v>
      </c>
      <c r="S76" s="2">
        <v>29</v>
      </c>
      <c r="T76" s="8">
        <f t="shared" si="9"/>
        <v>0</v>
      </c>
      <c r="U76" s="8">
        <f t="shared" si="10"/>
        <v>-59695.5</v>
      </c>
      <c r="V76" s="116">
        <f t="shared" si="11"/>
        <v>129</v>
      </c>
    </row>
    <row r="77" spans="1:22" ht="15">
      <c r="A77" s="180" t="s">
        <v>229</v>
      </c>
      <c r="B77" s="181">
        <v>43496</v>
      </c>
      <c r="C77" s="180" t="s">
        <v>230</v>
      </c>
      <c r="D77" s="182">
        <v>4040.93</v>
      </c>
      <c r="F77" s="180"/>
      <c r="K77" s="181">
        <v>43524</v>
      </c>
      <c r="M77" s="183">
        <f t="shared" si="6"/>
        <v>43524</v>
      </c>
      <c r="N77" s="181">
        <v>43524</v>
      </c>
      <c r="O77" s="10">
        <f>+K77-M77</f>
        <v>0</v>
      </c>
      <c r="P77" s="10">
        <f t="shared" si="7"/>
        <v>0</v>
      </c>
      <c r="Q77" s="10">
        <f>+N77-K77</f>
        <v>0</v>
      </c>
      <c r="R77" s="10">
        <f t="shared" si="8"/>
        <v>-30</v>
      </c>
      <c r="S77" s="2">
        <v>29</v>
      </c>
      <c r="T77" s="8">
        <f t="shared" si="9"/>
        <v>0</v>
      </c>
      <c r="U77" s="8">
        <f t="shared" si="10"/>
        <v>-121227.9</v>
      </c>
      <c r="V77" s="116">
        <f t="shared" si="11"/>
        <v>129</v>
      </c>
    </row>
    <row r="78" spans="1:22" ht="15">
      <c r="A78" s="180" t="s">
        <v>231</v>
      </c>
      <c r="B78" s="181">
        <v>43496</v>
      </c>
      <c r="C78" s="180" t="s">
        <v>232</v>
      </c>
      <c r="D78" s="182">
        <v>346.06</v>
      </c>
      <c r="F78" s="180"/>
      <c r="K78" s="181">
        <v>43496</v>
      </c>
      <c r="M78" s="183">
        <f t="shared" si="6"/>
        <v>43496</v>
      </c>
      <c r="N78" s="181">
        <v>43496</v>
      </c>
      <c r="O78" s="10">
        <f>+K78-M78</f>
        <v>0</v>
      </c>
      <c r="P78" s="10">
        <f t="shared" si="7"/>
        <v>0</v>
      </c>
      <c r="Q78" s="10">
        <f>+N78-K78</f>
        <v>0</v>
      </c>
      <c r="R78" s="10">
        <f t="shared" si="8"/>
        <v>-30</v>
      </c>
      <c r="S78" s="2">
        <v>29</v>
      </c>
      <c r="T78" s="8">
        <f t="shared" si="9"/>
        <v>0</v>
      </c>
      <c r="U78" s="8">
        <f t="shared" si="10"/>
        <v>-10381.8</v>
      </c>
      <c r="V78" s="116">
        <f t="shared" si="11"/>
        <v>129</v>
      </c>
    </row>
    <row r="79" spans="1:22" ht="15">
      <c r="A79" s="180" t="s">
        <v>233</v>
      </c>
      <c r="B79" s="181">
        <v>43496</v>
      </c>
      <c r="C79" s="180" t="s">
        <v>234</v>
      </c>
      <c r="D79" s="182">
        <v>77</v>
      </c>
      <c r="F79" s="180"/>
      <c r="K79" s="181">
        <v>43496</v>
      </c>
      <c r="M79" s="183">
        <f t="shared" si="6"/>
        <v>43500</v>
      </c>
      <c r="N79" s="181">
        <v>43500</v>
      </c>
      <c r="O79" s="10">
        <f>+K79-M79</f>
        <v>-4</v>
      </c>
      <c r="P79" s="10">
        <f t="shared" si="7"/>
        <v>0</v>
      </c>
      <c r="Q79" s="10">
        <f>+N79-K79</f>
        <v>4</v>
      </c>
      <c r="R79" s="10">
        <f t="shared" si="8"/>
        <v>-26</v>
      </c>
      <c r="S79" s="2">
        <v>29</v>
      </c>
      <c r="T79" s="8">
        <f t="shared" si="9"/>
        <v>0</v>
      </c>
      <c r="U79" s="8">
        <f t="shared" si="10"/>
        <v>-2002</v>
      </c>
      <c r="V79" s="116">
        <f t="shared" si="11"/>
        <v>129</v>
      </c>
    </row>
    <row r="80" spans="1:22" ht="15">
      <c r="A80" s="180" t="s">
        <v>235</v>
      </c>
      <c r="B80" s="181">
        <v>43496</v>
      </c>
      <c r="C80" s="180" t="s">
        <v>236</v>
      </c>
      <c r="D80" s="182">
        <v>798.06</v>
      </c>
      <c r="F80" s="180"/>
      <c r="K80" s="181">
        <v>43524</v>
      </c>
      <c r="M80" s="183">
        <f t="shared" si="6"/>
        <v>43524</v>
      </c>
      <c r="N80" s="181">
        <v>43524</v>
      </c>
      <c r="O80" s="10">
        <f>+K80-M80</f>
        <v>0</v>
      </c>
      <c r="P80" s="10">
        <f t="shared" si="7"/>
        <v>0</v>
      </c>
      <c r="Q80" s="10">
        <f>+N80-K80</f>
        <v>0</v>
      </c>
      <c r="R80" s="10">
        <f t="shared" si="8"/>
        <v>-30</v>
      </c>
      <c r="S80" s="2">
        <v>29</v>
      </c>
      <c r="T80" s="8">
        <f t="shared" si="9"/>
        <v>0</v>
      </c>
      <c r="U80" s="8">
        <f t="shared" si="10"/>
        <v>-23941.8</v>
      </c>
      <c r="V80" s="116">
        <f t="shared" si="11"/>
        <v>129</v>
      </c>
    </row>
    <row r="81" spans="1:22" ht="15">
      <c r="A81" s="180" t="s">
        <v>237</v>
      </c>
      <c r="B81" s="181">
        <v>43496</v>
      </c>
      <c r="C81" s="180" t="s">
        <v>238</v>
      </c>
      <c r="D81" s="182">
        <v>161.6</v>
      </c>
      <c r="F81" s="180"/>
      <c r="K81" s="181">
        <v>43524</v>
      </c>
      <c r="M81" s="183">
        <f t="shared" si="6"/>
        <v>43524</v>
      </c>
      <c r="N81" s="181">
        <v>43524</v>
      </c>
      <c r="O81" s="10">
        <f>+K81-M81</f>
        <v>0</v>
      </c>
      <c r="P81" s="10">
        <f t="shared" si="7"/>
        <v>0</v>
      </c>
      <c r="Q81" s="10">
        <f>+N81-K81</f>
        <v>0</v>
      </c>
      <c r="R81" s="10">
        <f t="shared" si="8"/>
        <v>-30</v>
      </c>
      <c r="S81" s="2">
        <v>29</v>
      </c>
      <c r="T81" s="8">
        <f t="shared" si="9"/>
        <v>0</v>
      </c>
      <c r="U81" s="8">
        <f t="shared" si="10"/>
        <v>-4848</v>
      </c>
      <c r="V81" s="116">
        <f t="shared" si="11"/>
        <v>129</v>
      </c>
    </row>
    <row r="82" spans="1:22" ht="15">
      <c r="A82" s="180" t="s">
        <v>239</v>
      </c>
      <c r="B82" s="181">
        <v>43496</v>
      </c>
      <c r="C82" s="180" t="s">
        <v>240</v>
      </c>
      <c r="D82" s="182">
        <v>77</v>
      </c>
      <c r="F82" s="180"/>
      <c r="K82" s="181">
        <v>43496</v>
      </c>
      <c r="M82" s="183">
        <f t="shared" si="6"/>
        <v>43500</v>
      </c>
      <c r="N82" s="181">
        <v>43500</v>
      </c>
      <c r="O82" s="10">
        <f>+K82-M82</f>
        <v>-4</v>
      </c>
      <c r="P82" s="10">
        <f t="shared" si="7"/>
        <v>0</v>
      </c>
      <c r="Q82" s="10">
        <f>+N82-K82</f>
        <v>4</v>
      </c>
      <c r="R82" s="10">
        <f t="shared" si="8"/>
        <v>-26</v>
      </c>
      <c r="S82" s="2">
        <v>29</v>
      </c>
      <c r="T82" s="8">
        <f t="shared" si="9"/>
        <v>0</v>
      </c>
      <c r="U82" s="8">
        <f t="shared" si="10"/>
        <v>-2002</v>
      </c>
      <c r="V82" s="116">
        <f t="shared" si="11"/>
        <v>129</v>
      </c>
    </row>
    <row r="83" spans="1:22" ht="15">
      <c r="A83" s="180" t="s">
        <v>241</v>
      </c>
      <c r="B83" s="181">
        <v>43496</v>
      </c>
      <c r="C83" s="180" t="s">
        <v>94</v>
      </c>
      <c r="D83" s="182">
        <v>3888</v>
      </c>
      <c r="F83" s="180"/>
      <c r="K83" s="181">
        <v>43496</v>
      </c>
      <c r="M83" s="183">
        <f t="shared" si="6"/>
        <v>43501</v>
      </c>
      <c r="N83" s="181">
        <v>43501</v>
      </c>
      <c r="O83" s="10">
        <f>+K83-M83</f>
        <v>-5</v>
      </c>
      <c r="P83" s="10">
        <f t="shared" si="7"/>
        <v>0</v>
      </c>
      <c r="Q83" s="10">
        <f>+N83-K83</f>
        <v>5</v>
      </c>
      <c r="R83" s="10">
        <f t="shared" si="8"/>
        <v>-25</v>
      </c>
      <c r="S83" s="2">
        <v>29</v>
      </c>
      <c r="T83" s="8">
        <f t="shared" si="9"/>
        <v>0</v>
      </c>
      <c r="U83" s="8">
        <f t="shared" si="10"/>
        <v>-97200</v>
      </c>
      <c r="V83" s="116">
        <f t="shared" si="11"/>
        <v>129</v>
      </c>
    </row>
    <row r="84" spans="1:22" ht="15">
      <c r="A84" s="180" t="s">
        <v>242</v>
      </c>
      <c r="B84" s="181">
        <v>43496</v>
      </c>
      <c r="C84" s="180" t="s">
        <v>243</v>
      </c>
      <c r="D84" s="182">
        <v>8.38</v>
      </c>
      <c r="F84" s="180"/>
      <c r="K84" s="181">
        <v>43496</v>
      </c>
      <c r="M84" s="183">
        <f t="shared" si="6"/>
        <v>43515</v>
      </c>
      <c r="N84" s="181">
        <v>43515</v>
      </c>
      <c r="O84" s="10">
        <f>+K84-M84</f>
        <v>-19</v>
      </c>
      <c r="P84" s="10">
        <f t="shared" si="7"/>
        <v>0</v>
      </c>
      <c r="Q84" s="10">
        <f>+N84-K84</f>
        <v>19</v>
      </c>
      <c r="R84" s="10">
        <f t="shared" si="8"/>
        <v>-11</v>
      </c>
      <c r="S84" s="2">
        <v>22</v>
      </c>
      <c r="T84" s="8">
        <f t="shared" si="9"/>
        <v>0</v>
      </c>
      <c r="U84" s="8">
        <f t="shared" si="10"/>
        <v>-92.18</v>
      </c>
      <c r="V84" s="116">
        <f t="shared" si="11"/>
        <v>122</v>
      </c>
    </row>
    <row r="85" spans="1:22" ht="15">
      <c r="A85" s="180" t="s">
        <v>244</v>
      </c>
      <c r="B85" s="181">
        <v>43474</v>
      </c>
      <c r="C85" s="180" t="s">
        <v>245</v>
      </c>
      <c r="D85" s="182">
        <v>3.55</v>
      </c>
      <c r="F85" s="180"/>
      <c r="K85" s="181">
        <v>43474</v>
      </c>
      <c r="M85" s="183">
        <f t="shared" si="6"/>
        <v>43482</v>
      </c>
      <c r="N85" s="181">
        <v>43482</v>
      </c>
      <c r="O85" s="10">
        <f>+K85-M85</f>
        <v>-8</v>
      </c>
      <c r="P85" s="10">
        <f t="shared" si="7"/>
        <v>0</v>
      </c>
      <c r="Q85" s="10">
        <f>+N85-K85</f>
        <v>8</v>
      </c>
      <c r="R85" s="10">
        <f t="shared" si="8"/>
        <v>-22</v>
      </c>
      <c r="S85" s="2">
        <v>22</v>
      </c>
      <c r="T85" s="8">
        <f t="shared" si="9"/>
        <v>0</v>
      </c>
      <c r="U85" s="8">
        <f t="shared" si="10"/>
        <v>-78.1</v>
      </c>
      <c r="V85" s="116">
        <f t="shared" si="11"/>
        <v>122</v>
      </c>
    </row>
    <row r="86" spans="1:22" ht="15">
      <c r="A86" s="180" t="s">
        <v>246</v>
      </c>
      <c r="B86" s="181">
        <v>43474</v>
      </c>
      <c r="C86" s="180" t="s">
        <v>247</v>
      </c>
      <c r="D86" s="182">
        <v>7.35</v>
      </c>
      <c r="F86" s="180"/>
      <c r="K86" s="181">
        <v>43474</v>
      </c>
      <c r="M86" s="183">
        <f t="shared" si="6"/>
        <v>43482</v>
      </c>
      <c r="N86" s="181">
        <v>43482</v>
      </c>
      <c r="O86" s="10">
        <f>+K86-M86</f>
        <v>-8</v>
      </c>
      <c r="P86" s="10">
        <f t="shared" si="7"/>
        <v>0</v>
      </c>
      <c r="Q86" s="10">
        <f>+N86-K86</f>
        <v>8</v>
      </c>
      <c r="R86" s="10">
        <f t="shared" si="8"/>
        <v>-22</v>
      </c>
      <c r="S86" s="2">
        <v>22</v>
      </c>
      <c r="T86" s="8">
        <f t="shared" si="9"/>
        <v>0</v>
      </c>
      <c r="U86" s="8">
        <f t="shared" si="10"/>
        <v>-161.7</v>
      </c>
      <c r="V86" s="116">
        <f t="shared" si="11"/>
        <v>122</v>
      </c>
    </row>
    <row r="87" spans="1:22" ht="15">
      <c r="A87" s="180" t="s">
        <v>248</v>
      </c>
      <c r="B87" s="181">
        <v>43487</v>
      </c>
      <c r="C87" s="180" t="s">
        <v>249</v>
      </c>
      <c r="D87" s="182">
        <v>17.56</v>
      </c>
      <c r="F87" s="180"/>
      <c r="K87" s="181">
        <v>43487</v>
      </c>
      <c r="M87" s="183">
        <f t="shared" si="6"/>
        <v>43487</v>
      </c>
      <c r="N87" s="181">
        <v>43487</v>
      </c>
      <c r="O87" s="10">
        <f>+K87-M87</f>
        <v>0</v>
      </c>
      <c r="P87" s="10">
        <f t="shared" si="7"/>
        <v>0</v>
      </c>
      <c r="Q87" s="10">
        <f>+N87-K87</f>
        <v>0</v>
      </c>
      <c r="R87" s="10">
        <f t="shared" si="8"/>
        <v>-30</v>
      </c>
      <c r="S87" s="2">
        <v>22</v>
      </c>
      <c r="T87" s="8">
        <f t="shared" si="9"/>
        <v>0</v>
      </c>
      <c r="U87" s="8">
        <f t="shared" si="10"/>
        <v>-526.8</v>
      </c>
      <c r="V87" s="116">
        <f t="shared" si="11"/>
        <v>122</v>
      </c>
    </row>
    <row r="88" spans="1:22" ht="15">
      <c r="A88" s="180" t="s">
        <v>250</v>
      </c>
      <c r="B88" s="181">
        <v>43497</v>
      </c>
      <c r="C88" s="180" t="s">
        <v>251</v>
      </c>
      <c r="D88" s="182">
        <v>114.96</v>
      </c>
      <c r="F88" s="180"/>
      <c r="K88" s="181">
        <v>43497</v>
      </c>
      <c r="M88" s="183">
        <f t="shared" si="6"/>
        <v>43521</v>
      </c>
      <c r="N88" s="181">
        <v>43521</v>
      </c>
      <c r="O88" s="10">
        <f>+K88-M88</f>
        <v>-24</v>
      </c>
      <c r="P88" s="10">
        <f t="shared" si="7"/>
        <v>0</v>
      </c>
      <c r="Q88" s="10">
        <f>+N88-K88</f>
        <v>24</v>
      </c>
      <c r="R88" s="10">
        <f t="shared" si="8"/>
        <v>-6</v>
      </c>
      <c r="S88" s="2">
        <v>21</v>
      </c>
      <c r="T88" s="8">
        <f t="shared" si="9"/>
        <v>0</v>
      </c>
      <c r="U88" s="8">
        <f t="shared" si="10"/>
        <v>-689.76</v>
      </c>
      <c r="V88" s="116">
        <f t="shared" si="11"/>
        <v>121</v>
      </c>
    </row>
    <row r="89" spans="1:22" ht="15">
      <c r="A89" s="180" t="s">
        <v>252</v>
      </c>
      <c r="B89" s="181">
        <v>43496</v>
      </c>
      <c r="C89" s="180" t="s">
        <v>253</v>
      </c>
      <c r="D89" s="182">
        <v>375</v>
      </c>
      <c r="F89" s="180"/>
      <c r="K89" s="181">
        <v>43496</v>
      </c>
      <c r="M89" s="183">
        <f t="shared" si="6"/>
        <v>43501</v>
      </c>
      <c r="N89" s="181">
        <v>43501</v>
      </c>
      <c r="O89" s="10">
        <f>+K89-M89</f>
        <v>-5</v>
      </c>
      <c r="P89" s="10">
        <f t="shared" si="7"/>
        <v>0</v>
      </c>
      <c r="Q89" s="10">
        <f>+N89-K89</f>
        <v>5</v>
      </c>
      <c r="R89" s="10">
        <f t="shared" si="8"/>
        <v>-25</v>
      </c>
      <c r="S89" s="2">
        <v>29</v>
      </c>
      <c r="T89" s="8">
        <f t="shared" si="9"/>
        <v>0</v>
      </c>
      <c r="U89" s="8">
        <f t="shared" si="10"/>
        <v>-9375</v>
      </c>
      <c r="V89" s="116">
        <f t="shared" si="11"/>
        <v>129</v>
      </c>
    </row>
    <row r="90" spans="1:22" ht="15">
      <c r="A90" s="180" t="s">
        <v>254</v>
      </c>
      <c r="B90" s="181">
        <v>43495</v>
      </c>
      <c r="C90" s="180" t="s">
        <v>255</v>
      </c>
      <c r="D90" s="182">
        <v>763.84</v>
      </c>
      <c r="F90" s="180"/>
      <c r="K90" s="181">
        <v>43538</v>
      </c>
      <c r="M90" s="183">
        <f t="shared" si="6"/>
        <v>43501</v>
      </c>
      <c r="N90" s="181">
        <v>43501</v>
      </c>
      <c r="O90" s="10">
        <f>+K90-M90</f>
        <v>37</v>
      </c>
      <c r="P90" s="10">
        <f t="shared" si="7"/>
        <v>0</v>
      </c>
      <c r="Q90" s="10">
        <f>+N90-K90</f>
        <v>-37</v>
      </c>
      <c r="R90" s="10">
        <f t="shared" si="8"/>
        <v>-67</v>
      </c>
      <c r="S90" s="2">
        <v>29</v>
      </c>
      <c r="T90" s="8">
        <f t="shared" si="9"/>
        <v>0</v>
      </c>
      <c r="U90" s="8">
        <f t="shared" si="10"/>
        <v>-51177.28</v>
      </c>
      <c r="V90" s="116">
        <f t="shared" si="11"/>
        <v>129</v>
      </c>
    </row>
    <row r="91" spans="1:22" ht="15">
      <c r="A91" s="180" t="s">
        <v>256</v>
      </c>
      <c r="B91" s="181">
        <v>43497</v>
      </c>
      <c r="C91" s="180" t="s">
        <v>257</v>
      </c>
      <c r="D91" s="182">
        <v>62.23</v>
      </c>
      <c r="F91" s="180"/>
      <c r="K91" s="181">
        <v>43497</v>
      </c>
      <c r="M91" s="183">
        <f t="shared" si="6"/>
        <v>43497</v>
      </c>
      <c r="N91" s="181">
        <v>43497</v>
      </c>
      <c r="O91" s="10">
        <f>+K91-M91</f>
        <v>0</v>
      </c>
      <c r="P91" s="10">
        <f t="shared" si="7"/>
        <v>0</v>
      </c>
      <c r="Q91" s="10">
        <f>+N91-K91</f>
        <v>0</v>
      </c>
      <c r="R91" s="10">
        <f t="shared" si="8"/>
        <v>-30</v>
      </c>
      <c r="S91" s="2">
        <v>21</v>
      </c>
      <c r="T91" s="8">
        <f t="shared" si="9"/>
        <v>0</v>
      </c>
      <c r="U91" s="8">
        <f t="shared" si="10"/>
        <v>-1866.8999999999999</v>
      </c>
      <c r="V91" s="116">
        <f t="shared" si="11"/>
        <v>121</v>
      </c>
    </row>
    <row r="92" spans="1:22" ht="15">
      <c r="A92" s="180" t="s">
        <v>258</v>
      </c>
      <c r="B92" s="181">
        <v>43476</v>
      </c>
      <c r="C92" s="180" t="s">
        <v>259</v>
      </c>
      <c r="D92" s="182">
        <v>56</v>
      </c>
      <c r="F92" s="180"/>
      <c r="K92" s="181">
        <v>43476</v>
      </c>
      <c r="M92" s="183">
        <f t="shared" si="6"/>
        <v>43496</v>
      </c>
      <c r="N92" s="181">
        <v>43496</v>
      </c>
      <c r="O92" s="10">
        <f>+K92-M92</f>
        <v>-20</v>
      </c>
      <c r="P92" s="10">
        <f t="shared" si="7"/>
        <v>0</v>
      </c>
      <c r="Q92" s="10">
        <f>+N92-K92</f>
        <v>20</v>
      </c>
      <c r="R92" s="10">
        <f t="shared" si="8"/>
        <v>-10</v>
      </c>
      <c r="S92" s="2">
        <v>29</v>
      </c>
      <c r="T92" s="8">
        <f t="shared" si="9"/>
        <v>0</v>
      </c>
      <c r="U92" s="8">
        <f t="shared" si="10"/>
        <v>-560</v>
      </c>
      <c r="V92" s="116">
        <f t="shared" si="11"/>
        <v>129</v>
      </c>
    </row>
    <row r="93" spans="1:22" ht="15">
      <c r="A93" s="180" t="s">
        <v>260</v>
      </c>
      <c r="B93" s="181">
        <v>43479</v>
      </c>
      <c r="C93" s="180" t="s">
        <v>261</v>
      </c>
      <c r="D93" s="182">
        <v>3569.5</v>
      </c>
      <c r="F93" s="180"/>
      <c r="K93" s="181">
        <v>43479</v>
      </c>
      <c r="M93" s="183">
        <f t="shared" si="6"/>
        <v>43496</v>
      </c>
      <c r="N93" s="181">
        <v>43496</v>
      </c>
      <c r="O93" s="10">
        <f>+K93-M93</f>
        <v>-17</v>
      </c>
      <c r="P93" s="10">
        <f t="shared" si="7"/>
        <v>0</v>
      </c>
      <c r="Q93" s="10">
        <f>+N93-K93</f>
        <v>17</v>
      </c>
      <c r="R93" s="10">
        <f t="shared" si="8"/>
        <v>-13</v>
      </c>
      <c r="S93" s="2">
        <v>29</v>
      </c>
      <c r="T93" s="8">
        <f t="shared" si="9"/>
        <v>0</v>
      </c>
      <c r="U93" s="8">
        <f t="shared" si="10"/>
        <v>-46403.5</v>
      </c>
      <c r="V93" s="116">
        <f t="shared" si="11"/>
        <v>129</v>
      </c>
    </row>
    <row r="94" spans="1:22" ht="15">
      <c r="A94" s="180" t="s">
        <v>262</v>
      </c>
      <c r="B94" s="181">
        <v>43476</v>
      </c>
      <c r="C94" s="180" t="s">
        <v>263</v>
      </c>
      <c r="D94" s="182">
        <v>2.42</v>
      </c>
      <c r="F94" s="180"/>
      <c r="K94" s="181">
        <v>43476</v>
      </c>
      <c r="M94" s="183">
        <f t="shared" si="6"/>
        <v>43480</v>
      </c>
      <c r="N94" s="181">
        <v>43480</v>
      </c>
      <c r="O94" s="10">
        <f>+K94-M94</f>
        <v>-4</v>
      </c>
      <c r="P94" s="10">
        <f t="shared" si="7"/>
        <v>0</v>
      </c>
      <c r="Q94" s="10">
        <f>+N94-K94</f>
        <v>4</v>
      </c>
      <c r="R94" s="10">
        <f t="shared" si="8"/>
        <v>-26</v>
      </c>
      <c r="S94" s="2">
        <v>21</v>
      </c>
      <c r="T94" s="8">
        <f t="shared" si="9"/>
        <v>0</v>
      </c>
      <c r="U94" s="8">
        <f t="shared" si="10"/>
        <v>-62.92</v>
      </c>
      <c r="V94" s="116">
        <f t="shared" si="11"/>
        <v>121</v>
      </c>
    </row>
    <row r="95" spans="1:22" ht="15">
      <c r="A95" s="180" t="s">
        <v>264</v>
      </c>
      <c r="B95" s="181">
        <v>43474</v>
      </c>
      <c r="C95" s="180" t="s">
        <v>265</v>
      </c>
      <c r="D95" s="182">
        <v>112.47</v>
      </c>
      <c r="F95" s="180"/>
      <c r="K95" s="181">
        <v>43474</v>
      </c>
      <c r="M95" s="183">
        <f t="shared" si="6"/>
        <v>43474</v>
      </c>
      <c r="N95" s="181">
        <v>43474</v>
      </c>
      <c r="O95" s="10">
        <f>+K95-M95</f>
        <v>0</v>
      </c>
      <c r="P95" s="10">
        <f t="shared" si="7"/>
        <v>0</v>
      </c>
      <c r="Q95" s="10">
        <f>+N95-K95</f>
        <v>0</v>
      </c>
      <c r="R95" s="10">
        <f t="shared" si="8"/>
        <v>-30</v>
      </c>
      <c r="S95" s="2">
        <v>29</v>
      </c>
      <c r="T95" s="8">
        <f t="shared" si="9"/>
        <v>0</v>
      </c>
      <c r="U95" s="8">
        <f t="shared" si="10"/>
        <v>-3374.1</v>
      </c>
      <c r="V95" s="116">
        <f t="shared" si="11"/>
        <v>129</v>
      </c>
    </row>
    <row r="96" spans="1:22" ht="15">
      <c r="A96" s="180" t="s">
        <v>266</v>
      </c>
      <c r="B96" s="181">
        <v>43473</v>
      </c>
      <c r="C96" s="180" t="s">
        <v>267</v>
      </c>
      <c r="D96" s="182">
        <v>94.34</v>
      </c>
      <c r="F96" s="180"/>
      <c r="K96" s="181">
        <v>43473</v>
      </c>
      <c r="M96" s="183">
        <f t="shared" si="6"/>
        <v>43473</v>
      </c>
      <c r="N96" s="181">
        <v>43473</v>
      </c>
      <c r="O96" s="10">
        <f>+K96-M96</f>
        <v>0</v>
      </c>
      <c r="P96" s="10">
        <f t="shared" si="7"/>
        <v>0</v>
      </c>
      <c r="Q96" s="10">
        <f>+N96-K96</f>
        <v>0</v>
      </c>
      <c r="R96" s="10">
        <f t="shared" si="8"/>
        <v>-30</v>
      </c>
      <c r="S96" s="2">
        <v>21</v>
      </c>
      <c r="T96" s="8">
        <f t="shared" si="9"/>
        <v>0</v>
      </c>
      <c r="U96" s="8">
        <f t="shared" si="10"/>
        <v>-2830.2000000000003</v>
      </c>
      <c r="V96" s="116">
        <f t="shared" si="11"/>
        <v>121</v>
      </c>
    </row>
    <row r="97" spans="1:22" ht="15">
      <c r="A97" s="180" t="s">
        <v>268</v>
      </c>
      <c r="B97" s="181">
        <v>43475</v>
      </c>
      <c r="C97" s="180" t="s">
        <v>269</v>
      </c>
      <c r="D97" s="182">
        <v>200.34</v>
      </c>
      <c r="F97" s="180"/>
      <c r="K97" s="181">
        <v>43475</v>
      </c>
      <c r="M97" s="183">
        <f t="shared" si="6"/>
        <v>43507</v>
      </c>
      <c r="N97" s="181">
        <v>43507</v>
      </c>
      <c r="O97" s="10">
        <f>+K97-M97</f>
        <v>-32</v>
      </c>
      <c r="P97" s="10">
        <f t="shared" si="7"/>
        <v>0</v>
      </c>
      <c r="Q97" s="10">
        <f>+N97-K97</f>
        <v>32</v>
      </c>
      <c r="R97" s="10">
        <f t="shared" si="8"/>
        <v>2</v>
      </c>
      <c r="S97" s="2">
        <v>29</v>
      </c>
      <c r="T97" s="8">
        <f t="shared" si="9"/>
        <v>0</v>
      </c>
      <c r="U97" s="8">
        <f t="shared" si="10"/>
        <v>400.68</v>
      </c>
      <c r="V97" s="116">
        <f t="shared" si="11"/>
        <v>129</v>
      </c>
    </row>
    <row r="98" spans="1:22" ht="15">
      <c r="A98" s="180" t="s">
        <v>270</v>
      </c>
      <c r="B98" s="181">
        <v>43474</v>
      </c>
      <c r="C98" s="180" t="s">
        <v>271</v>
      </c>
      <c r="D98" s="182">
        <v>99.22</v>
      </c>
      <c r="F98" s="180"/>
      <c r="K98" s="181">
        <v>43474</v>
      </c>
      <c r="M98" s="183">
        <f t="shared" si="6"/>
        <v>43481</v>
      </c>
      <c r="N98" s="181">
        <v>43481</v>
      </c>
      <c r="O98" s="10">
        <f>+K98-M98</f>
        <v>-7</v>
      </c>
      <c r="P98" s="10">
        <f t="shared" si="7"/>
        <v>0</v>
      </c>
      <c r="Q98" s="10">
        <f>+N98-K98</f>
        <v>7</v>
      </c>
      <c r="R98" s="10">
        <f t="shared" si="8"/>
        <v>-23</v>
      </c>
      <c r="S98" s="2">
        <v>21</v>
      </c>
      <c r="T98" s="8">
        <f t="shared" si="9"/>
        <v>0</v>
      </c>
      <c r="U98" s="8">
        <f t="shared" si="10"/>
        <v>-2282.06</v>
      </c>
      <c r="V98" s="116">
        <f t="shared" si="11"/>
        <v>121</v>
      </c>
    </row>
    <row r="99" spans="1:22" ht="15">
      <c r="A99" s="180" t="s">
        <v>272</v>
      </c>
      <c r="B99" s="181">
        <v>43466</v>
      </c>
      <c r="C99" s="180" t="s">
        <v>273</v>
      </c>
      <c r="D99" s="182">
        <v>62.23</v>
      </c>
      <c r="F99" s="180"/>
      <c r="K99" s="181">
        <v>43466</v>
      </c>
      <c r="M99" s="183">
        <f t="shared" si="6"/>
        <v>43467</v>
      </c>
      <c r="N99" s="181">
        <v>43467</v>
      </c>
      <c r="O99" s="10">
        <f>+K99-M99</f>
        <v>-1</v>
      </c>
      <c r="P99" s="10">
        <f t="shared" si="7"/>
        <v>0</v>
      </c>
      <c r="Q99" s="10">
        <f>+N99-K99</f>
        <v>1</v>
      </c>
      <c r="R99" s="10">
        <f t="shared" si="8"/>
        <v>-29</v>
      </c>
      <c r="S99" s="2">
        <v>21</v>
      </c>
      <c r="T99" s="8">
        <f t="shared" si="9"/>
        <v>0</v>
      </c>
      <c r="U99" s="8">
        <f t="shared" si="10"/>
        <v>-1804.6699999999998</v>
      </c>
      <c r="V99" s="116">
        <f t="shared" si="11"/>
        <v>121</v>
      </c>
    </row>
    <row r="100" spans="1:22" ht="15">
      <c r="A100" s="180" t="s">
        <v>274</v>
      </c>
      <c r="B100" s="181">
        <v>43472</v>
      </c>
      <c r="C100" s="180" t="s">
        <v>275</v>
      </c>
      <c r="D100" s="182">
        <v>197.62</v>
      </c>
      <c r="F100" s="180"/>
      <c r="K100" s="181">
        <v>43472</v>
      </c>
      <c r="M100" s="183">
        <f t="shared" si="6"/>
        <v>43480</v>
      </c>
      <c r="N100" s="181">
        <v>43480</v>
      </c>
      <c r="O100" s="10">
        <f>+K100-M100</f>
        <v>-8</v>
      </c>
      <c r="P100" s="10">
        <f t="shared" si="7"/>
        <v>0</v>
      </c>
      <c r="Q100" s="10">
        <f>+N100-K100</f>
        <v>8</v>
      </c>
      <c r="R100" s="10">
        <f t="shared" si="8"/>
        <v>-22</v>
      </c>
      <c r="S100" s="2">
        <v>29</v>
      </c>
      <c r="T100" s="8">
        <f t="shared" si="9"/>
        <v>0</v>
      </c>
      <c r="U100" s="8">
        <f t="shared" si="10"/>
        <v>-4347.64</v>
      </c>
      <c r="V100" s="116">
        <f t="shared" si="11"/>
        <v>129</v>
      </c>
    </row>
    <row r="101" spans="1:22" ht="15">
      <c r="A101" s="180" t="s">
        <v>276</v>
      </c>
      <c r="B101" s="181">
        <v>43467</v>
      </c>
      <c r="C101" s="180" t="s">
        <v>277</v>
      </c>
      <c r="D101" s="182">
        <v>28.6</v>
      </c>
      <c r="F101" s="180"/>
      <c r="K101" s="181">
        <v>43467</v>
      </c>
      <c r="M101" s="183">
        <f t="shared" si="6"/>
        <v>43473</v>
      </c>
      <c r="N101" s="181">
        <v>43473</v>
      </c>
      <c r="O101" s="10">
        <f>+K101-M101</f>
        <v>-6</v>
      </c>
      <c r="P101" s="10">
        <f t="shared" si="7"/>
        <v>0</v>
      </c>
      <c r="Q101" s="10">
        <f>+N101-K101</f>
        <v>6</v>
      </c>
      <c r="R101" s="10">
        <f t="shared" si="8"/>
        <v>-24</v>
      </c>
      <c r="S101" s="2">
        <v>20</v>
      </c>
      <c r="T101" s="8">
        <f t="shared" si="9"/>
        <v>0</v>
      </c>
      <c r="U101" s="8">
        <f t="shared" si="10"/>
        <v>-686.4000000000001</v>
      </c>
      <c r="V101" s="116">
        <f t="shared" si="11"/>
        <v>120</v>
      </c>
    </row>
    <row r="102" spans="1:22" ht="15">
      <c r="A102" s="180" t="s">
        <v>278</v>
      </c>
      <c r="B102" s="181">
        <v>43467</v>
      </c>
      <c r="C102" s="180" t="s">
        <v>279</v>
      </c>
      <c r="D102" s="182">
        <v>61.41</v>
      </c>
      <c r="F102" s="180"/>
      <c r="K102" s="181">
        <v>43467</v>
      </c>
      <c r="M102" s="183">
        <f t="shared" si="6"/>
        <v>43473</v>
      </c>
      <c r="N102" s="181">
        <v>43473</v>
      </c>
      <c r="O102" s="10">
        <f>+K102-M102</f>
        <v>-6</v>
      </c>
      <c r="P102" s="10">
        <f t="shared" si="7"/>
        <v>0</v>
      </c>
      <c r="Q102" s="10">
        <f>+N102-K102</f>
        <v>6</v>
      </c>
      <c r="R102" s="10">
        <f t="shared" si="8"/>
        <v>-24</v>
      </c>
      <c r="S102" s="2">
        <v>20</v>
      </c>
      <c r="T102" s="8">
        <f t="shared" si="9"/>
        <v>0</v>
      </c>
      <c r="U102" s="8">
        <f t="shared" si="10"/>
        <v>-1473.84</v>
      </c>
      <c r="V102" s="116">
        <f t="shared" si="11"/>
        <v>120</v>
      </c>
    </row>
    <row r="103" spans="1:22" ht="15">
      <c r="A103" s="180" t="s">
        <v>280</v>
      </c>
      <c r="B103" s="181">
        <v>43467</v>
      </c>
      <c r="C103" s="180" t="s">
        <v>281</v>
      </c>
      <c r="D103" s="182">
        <v>576</v>
      </c>
      <c r="F103" s="180"/>
      <c r="K103" s="181">
        <v>43467</v>
      </c>
      <c r="M103" s="183">
        <f t="shared" si="6"/>
        <v>43469</v>
      </c>
      <c r="N103" s="181">
        <v>43469</v>
      </c>
      <c r="O103" s="10">
        <f>+K103-M103</f>
        <v>-2</v>
      </c>
      <c r="P103" s="10">
        <f t="shared" si="7"/>
        <v>0</v>
      </c>
      <c r="Q103" s="10">
        <f>+N103-K103</f>
        <v>2</v>
      </c>
      <c r="R103" s="10">
        <f t="shared" si="8"/>
        <v>-28</v>
      </c>
      <c r="S103" s="2">
        <v>29</v>
      </c>
      <c r="T103" s="8">
        <f t="shared" si="9"/>
        <v>0</v>
      </c>
      <c r="U103" s="8">
        <f t="shared" si="10"/>
        <v>-16128</v>
      </c>
      <c r="V103" s="116">
        <f t="shared" si="11"/>
        <v>129</v>
      </c>
    </row>
    <row r="104" spans="1:22" ht="15">
      <c r="A104" s="180" t="s">
        <v>282</v>
      </c>
      <c r="B104" s="181">
        <v>43555</v>
      </c>
      <c r="C104" s="180" t="s">
        <v>283</v>
      </c>
      <c r="D104" s="182">
        <v>2430</v>
      </c>
      <c r="F104" s="180"/>
      <c r="K104" s="181">
        <v>43538</v>
      </c>
      <c r="M104" s="183">
        <f t="shared" si="6"/>
        <v>43555</v>
      </c>
      <c r="N104" s="181">
        <v>43555</v>
      </c>
      <c r="O104" s="10">
        <f>+K104-M104</f>
        <v>-17</v>
      </c>
      <c r="P104" s="10">
        <f t="shared" si="7"/>
        <v>0</v>
      </c>
      <c r="Q104" s="10">
        <f>+N104-K104</f>
        <v>17</v>
      </c>
      <c r="R104" s="10">
        <f t="shared" si="8"/>
        <v>-13</v>
      </c>
      <c r="S104" s="2">
        <v>29</v>
      </c>
      <c r="T104" s="8">
        <f t="shared" si="9"/>
        <v>0</v>
      </c>
      <c r="U104" s="8">
        <f t="shared" si="10"/>
        <v>-31590</v>
      </c>
      <c r="V104" s="116">
        <f t="shared" si="11"/>
        <v>129</v>
      </c>
    </row>
    <row r="105" spans="1:22" ht="15">
      <c r="A105" s="180" t="s">
        <v>284</v>
      </c>
      <c r="B105" s="181">
        <v>43518</v>
      </c>
      <c r="C105" s="180" t="s">
        <v>285</v>
      </c>
      <c r="D105" s="182">
        <v>439.58</v>
      </c>
      <c r="F105" s="180"/>
      <c r="K105" s="181">
        <v>43538</v>
      </c>
      <c r="M105" s="183">
        <f t="shared" si="6"/>
        <v>43539</v>
      </c>
      <c r="N105" s="181">
        <v>43539</v>
      </c>
      <c r="O105" s="10">
        <f>+K105-M105</f>
        <v>-1</v>
      </c>
      <c r="P105" s="10">
        <f t="shared" si="7"/>
        <v>0</v>
      </c>
      <c r="Q105" s="10">
        <f>+N105-K105</f>
        <v>1</v>
      </c>
      <c r="R105" s="10">
        <f t="shared" si="8"/>
        <v>-29</v>
      </c>
      <c r="S105" s="2">
        <v>21</v>
      </c>
      <c r="T105" s="8">
        <f t="shared" si="9"/>
        <v>0</v>
      </c>
      <c r="U105" s="8">
        <f t="shared" si="10"/>
        <v>-12747.82</v>
      </c>
      <c r="V105" s="116">
        <f t="shared" si="11"/>
        <v>121</v>
      </c>
    </row>
    <row r="106" spans="1:22" ht="15">
      <c r="A106" s="180" t="s">
        <v>286</v>
      </c>
      <c r="B106" s="181">
        <v>43523</v>
      </c>
      <c r="C106" s="180" t="s">
        <v>287</v>
      </c>
      <c r="D106" s="182">
        <v>353.42</v>
      </c>
      <c r="F106" s="180"/>
      <c r="K106" s="181">
        <v>43538</v>
      </c>
      <c r="M106" s="183">
        <f t="shared" si="6"/>
        <v>43539</v>
      </c>
      <c r="N106" s="181">
        <v>43539</v>
      </c>
      <c r="O106" s="10">
        <f>+K106-M106</f>
        <v>-1</v>
      </c>
      <c r="P106" s="10">
        <f t="shared" si="7"/>
        <v>0</v>
      </c>
      <c r="Q106" s="10">
        <f>+N106-K106</f>
        <v>1</v>
      </c>
      <c r="R106" s="10">
        <f t="shared" si="8"/>
        <v>-29</v>
      </c>
      <c r="S106" s="2">
        <v>21</v>
      </c>
      <c r="T106" s="8">
        <f t="shared" si="9"/>
        <v>0</v>
      </c>
      <c r="U106" s="8">
        <f t="shared" si="10"/>
        <v>-10249.18</v>
      </c>
      <c r="V106" s="116">
        <f t="shared" si="11"/>
        <v>121</v>
      </c>
    </row>
    <row r="107" spans="1:22" ht="15">
      <c r="A107" s="180" t="s">
        <v>288</v>
      </c>
      <c r="B107" s="181">
        <v>43524</v>
      </c>
      <c r="C107" s="180" t="s">
        <v>289</v>
      </c>
      <c r="D107" s="182">
        <v>178.7</v>
      </c>
      <c r="F107" s="180"/>
      <c r="K107" s="181">
        <v>43538</v>
      </c>
      <c r="M107" s="183">
        <f t="shared" si="6"/>
        <v>43539</v>
      </c>
      <c r="N107" s="181">
        <v>43539</v>
      </c>
      <c r="O107" s="10">
        <f>+K107-M107</f>
        <v>-1</v>
      </c>
      <c r="P107" s="10">
        <f t="shared" si="7"/>
        <v>0</v>
      </c>
      <c r="Q107" s="10">
        <f>+N107-K107</f>
        <v>1</v>
      </c>
      <c r="R107" s="10">
        <f t="shared" si="8"/>
        <v>-29</v>
      </c>
      <c r="S107" s="2">
        <v>29</v>
      </c>
      <c r="T107" s="8">
        <f t="shared" si="9"/>
        <v>0</v>
      </c>
      <c r="U107" s="8">
        <f t="shared" si="10"/>
        <v>-5182.299999999999</v>
      </c>
      <c r="V107" s="116">
        <f t="shared" si="11"/>
        <v>129</v>
      </c>
    </row>
    <row r="108" spans="1:22" ht="15">
      <c r="A108" s="180" t="s">
        <v>290</v>
      </c>
      <c r="B108" s="181">
        <v>43508</v>
      </c>
      <c r="C108" s="180" t="s">
        <v>291</v>
      </c>
      <c r="D108" s="182">
        <v>30</v>
      </c>
      <c r="F108" s="180"/>
      <c r="K108" s="181">
        <v>43538</v>
      </c>
      <c r="M108" s="183">
        <f t="shared" si="6"/>
        <v>43539</v>
      </c>
      <c r="N108" s="181">
        <v>43539</v>
      </c>
      <c r="O108" s="10">
        <f>+K108-M108</f>
        <v>-1</v>
      </c>
      <c r="P108" s="10">
        <f t="shared" si="7"/>
        <v>0</v>
      </c>
      <c r="Q108" s="10">
        <f>+N108-K108</f>
        <v>1</v>
      </c>
      <c r="R108" s="10">
        <f t="shared" si="8"/>
        <v>-29</v>
      </c>
      <c r="S108" s="2">
        <v>29</v>
      </c>
      <c r="T108" s="8">
        <f t="shared" si="9"/>
        <v>0</v>
      </c>
      <c r="U108" s="8">
        <f t="shared" si="10"/>
        <v>-870</v>
      </c>
      <c r="V108" s="116">
        <f t="shared" si="11"/>
        <v>129</v>
      </c>
    </row>
    <row r="109" spans="1:22" ht="15">
      <c r="A109" s="180" t="s">
        <v>292</v>
      </c>
      <c r="B109" s="181">
        <v>43524</v>
      </c>
      <c r="C109" s="180" t="s">
        <v>293</v>
      </c>
      <c r="D109" s="182">
        <v>943.8</v>
      </c>
      <c r="F109" s="180"/>
      <c r="K109" s="181">
        <v>43539</v>
      </c>
      <c r="M109" s="183">
        <f t="shared" si="6"/>
        <v>43539</v>
      </c>
      <c r="N109" s="181">
        <v>43539</v>
      </c>
      <c r="O109" s="10">
        <f>+K109-M109</f>
        <v>0</v>
      </c>
      <c r="P109" s="10">
        <f t="shared" si="7"/>
        <v>0</v>
      </c>
      <c r="Q109" s="10">
        <f>+N109-K109</f>
        <v>0</v>
      </c>
      <c r="R109" s="10">
        <f t="shared" si="8"/>
        <v>-30</v>
      </c>
      <c r="S109" s="2">
        <v>29</v>
      </c>
      <c r="T109" s="8">
        <f t="shared" si="9"/>
        <v>0</v>
      </c>
      <c r="U109" s="8">
        <f t="shared" si="10"/>
        <v>-28314</v>
      </c>
      <c r="V109" s="116">
        <f t="shared" si="11"/>
        <v>129</v>
      </c>
    </row>
    <row r="110" spans="1:22" ht="15">
      <c r="A110" s="180" t="s">
        <v>294</v>
      </c>
      <c r="B110" s="181">
        <v>43524</v>
      </c>
      <c r="C110" s="180" t="s">
        <v>295</v>
      </c>
      <c r="D110" s="182">
        <v>655.41</v>
      </c>
      <c r="F110" s="180"/>
      <c r="K110" s="181">
        <v>43539</v>
      </c>
      <c r="M110" s="183">
        <f t="shared" si="6"/>
        <v>43539</v>
      </c>
      <c r="N110" s="181">
        <v>43539</v>
      </c>
      <c r="O110" s="10">
        <f>+K110-M110</f>
        <v>0</v>
      </c>
      <c r="P110" s="10">
        <f t="shared" si="7"/>
        <v>0</v>
      </c>
      <c r="Q110" s="10">
        <f>+N110-K110</f>
        <v>0</v>
      </c>
      <c r="R110" s="10">
        <f t="shared" si="8"/>
        <v>-30</v>
      </c>
      <c r="S110" s="2">
        <v>29</v>
      </c>
      <c r="T110" s="8">
        <f t="shared" si="9"/>
        <v>0</v>
      </c>
      <c r="U110" s="8">
        <f t="shared" si="10"/>
        <v>-19662.3</v>
      </c>
      <c r="V110" s="116">
        <f t="shared" si="11"/>
        <v>129</v>
      </c>
    </row>
    <row r="111" spans="1:22" ht="15">
      <c r="A111" s="180" t="s">
        <v>296</v>
      </c>
      <c r="B111" s="181">
        <v>43524</v>
      </c>
      <c r="C111" s="180" t="s">
        <v>297</v>
      </c>
      <c r="D111" s="182">
        <v>112.98</v>
      </c>
      <c r="F111" s="180"/>
      <c r="K111" s="181">
        <v>43539</v>
      </c>
      <c r="M111" s="183">
        <f t="shared" si="6"/>
        <v>43539</v>
      </c>
      <c r="N111" s="181">
        <v>43539</v>
      </c>
      <c r="O111" s="10">
        <f>+K111-M111</f>
        <v>0</v>
      </c>
      <c r="P111" s="10">
        <f t="shared" si="7"/>
        <v>0</v>
      </c>
      <c r="Q111" s="10">
        <f>+N111-K111</f>
        <v>0</v>
      </c>
      <c r="R111" s="10">
        <f t="shared" si="8"/>
        <v>-30</v>
      </c>
      <c r="S111" s="2">
        <v>29</v>
      </c>
      <c r="T111" s="8">
        <f t="shared" si="9"/>
        <v>0</v>
      </c>
      <c r="U111" s="8">
        <f t="shared" si="10"/>
        <v>-3389.4</v>
      </c>
      <c r="V111" s="116">
        <f t="shared" si="11"/>
        <v>129</v>
      </c>
    </row>
    <row r="112" spans="1:22" ht="15">
      <c r="A112" s="180" t="s">
        <v>298</v>
      </c>
      <c r="B112" s="181">
        <v>43524</v>
      </c>
      <c r="C112" s="180" t="s">
        <v>299</v>
      </c>
      <c r="D112" s="182">
        <v>81.31</v>
      </c>
      <c r="F112" s="180"/>
      <c r="K112" s="181">
        <v>43539</v>
      </c>
      <c r="M112" s="183">
        <f t="shared" si="6"/>
        <v>43539</v>
      </c>
      <c r="N112" s="181">
        <v>43539</v>
      </c>
      <c r="O112" s="10">
        <f>+K112-M112</f>
        <v>0</v>
      </c>
      <c r="P112" s="10">
        <f t="shared" si="7"/>
        <v>0</v>
      </c>
      <c r="Q112" s="10">
        <f>+N112-K112</f>
        <v>0</v>
      </c>
      <c r="R112" s="10">
        <f t="shared" si="8"/>
        <v>-30</v>
      </c>
      <c r="S112" s="2">
        <v>29</v>
      </c>
      <c r="T112" s="8">
        <f t="shared" si="9"/>
        <v>0</v>
      </c>
      <c r="U112" s="8">
        <f t="shared" si="10"/>
        <v>-2439.3</v>
      </c>
      <c r="V112" s="116">
        <f t="shared" si="11"/>
        <v>129</v>
      </c>
    </row>
    <row r="113" spans="1:22" ht="15">
      <c r="A113" s="180" t="s">
        <v>300</v>
      </c>
      <c r="B113" s="181">
        <v>43524</v>
      </c>
      <c r="C113" s="180" t="s">
        <v>301</v>
      </c>
      <c r="D113" s="182">
        <v>846.51</v>
      </c>
      <c r="F113" s="180"/>
      <c r="K113" s="181">
        <v>43539</v>
      </c>
      <c r="M113" s="183">
        <f t="shared" si="6"/>
        <v>43539</v>
      </c>
      <c r="N113" s="181">
        <v>43539</v>
      </c>
      <c r="O113" s="10">
        <f>+K113-M113</f>
        <v>0</v>
      </c>
      <c r="P113" s="10">
        <f t="shared" si="7"/>
        <v>0</v>
      </c>
      <c r="Q113" s="10">
        <f>+N113-K113</f>
        <v>0</v>
      </c>
      <c r="R113" s="10">
        <f t="shared" si="8"/>
        <v>-30</v>
      </c>
      <c r="S113" s="2">
        <v>29</v>
      </c>
      <c r="T113" s="8">
        <f t="shared" si="9"/>
        <v>0</v>
      </c>
      <c r="U113" s="8">
        <f t="shared" si="10"/>
        <v>-25395.3</v>
      </c>
      <c r="V113" s="116">
        <f t="shared" si="11"/>
        <v>129</v>
      </c>
    </row>
    <row r="114" spans="1:22" ht="15">
      <c r="A114" s="180" t="s">
        <v>302</v>
      </c>
      <c r="B114" s="181">
        <v>43524</v>
      </c>
      <c r="C114" s="180" t="s">
        <v>303</v>
      </c>
      <c r="D114" s="182">
        <v>1909.92</v>
      </c>
      <c r="F114" s="180"/>
      <c r="K114" s="181">
        <v>43539</v>
      </c>
      <c r="M114" s="183">
        <f t="shared" si="6"/>
        <v>43539</v>
      </c>
      <c r="N114" s="181">
        <v>43539</v>
      </c>
      <c r="O114" s="10">
        <f>+K114-M114</f>
        <v>0</v>
      </c>
      <c r="P114" s="10">
        <f t="shared" si="7"/>
        <v>0</v>
      </c>
      <c r="Q114" s="10">
        <f>+N114-K114</f>
        <v>0</v>
      </c>
      <c r="R114" s="10">
        <f t="shared" si="8"/>
        <v>-30</v>
      </c>
      <c r="S114" s="2">
        <v>29</v>
      </c>
      <c r="T114" s="8">
        <f t="shared" si="9"/>
        <v>0</v>
      </c>
      <c r="U114" s="8">
        <f t="shared" si="10"/>
        <v>-57297.600000000006</v>
      </c>
      <c r="V114" s="116">
        <f t="shared" si="11"/>
        <v>129</v>
      </c>
    </row>
    <row r="115" spans="1:22" ht="15">
      <c r="A115" s="180" t="s">
        <v>304</v>
      </c>
      <c r="B115" s="181">
        <v>43495</v>
      </c>
      <c r="C115" s="180" t="s">
        <v>305</v>
      </c>
      <c r="D115" s="182">
        <v>432.12</v>
      </c>
      <c r="F115" s="180"/>
      <c r="K115" s="181">
        <v>43495</v>
      </c>
      <c r="M115" s="183">
        <f t="shared" si="6"/>
        <v>43514</v>
      </c>
      <c r="N115" s="181">
        <v>43514</v>
      </c>
      <c r="O115" s="10">
        <f>+K115-M115</f>
        <v>-19</v>
      </c>
      <c r="P115" s="10">
        <f t="shared" si="7"/>
        <v>0</v>
      </c>
      <c r="Q115" s="10">
        <f>+N115-K115</f>
        <v>19</v>
      </c>
      <c r="R115" s="10">
        <f t="shared" si="8"/>
        <v>-11</v>
      </c>
      <c r="S115" s="2">
        <v>29</v>
      </c>
      <c r="T115" s="8">
        <f t="shared" si="9"/>
        <v>0</v>
      </c>
      <c r="U115" s="8">
        <f t="shared" si="10"/>
        <v>-4753.32</v>
      </c>
      <c r="V115" s="116">
        <f t="shared" si="11"/>
        <v>129</v>
      </c>
    </row>
    <row r="116" spans="1:22" ht="15">
      <c r="A116" s="180" t="s">
        <v>306</v>
      </c>
      <c r="B116" s="181">
        <v>43490</v>
      </c>
      <c r="C116" s="180" t="s">
        <v>307</v>
      </c>
      <c r="D116" s="182">
        <v>616.46</v>
      </c>
      <c r="F116" s="180"/>
      <c r="K116" s="181">
        <v>43490</v>
      </c>
      <c r="M116" s="183">
        <f t="shared" si="6"/>
        <v>43521</v>
      </c>
      <c r="N116" s="181">
        <v>43521</v>
      </c>
      <c r="O116" s="10">
        <f>+K116-M116</f>
        <v>-31</v>
      </c>
      <c r="P116" s="10">
        <f t="shared" si="7"/>
        <v>0</v>
      </c>
      <c r="Q116" s="10">
        <f>+N116-K116</f>
        <v>31</v>
      </c>
      <c r="R116" s="10">
        <f t="shared" si="8"/>
        <v>1</v>
      </c>
      <c r="S116" s="2">
        <v>21</v>
      </c>
      <c r="T116" s="8">
        <f t="shared" si="9"/>
        <v>0</v>
      </c>
      <c r="U116" s="8">
        <f t="shared" si="10"/>
        <v>616.46</v>
      </c>
      <c r="V116" s="116">
        <f t="shared" si="11"/>
        <v>121</v>
      </c>
    </row>
    <row r="117" spans="1:22" ht="15">
      <c r="A117" s="180" t="s">
        <v>308</v>
      </c>
      <c r="B117" s="181">
        <v>43509</v>
      </c>
      <c r="C117" s="180" t="s">
        <v>309</v>
      </c>
      <c r="D117" s="182">
        <v>5937.47</v>
      </c>
      <c r="F117" s="180"/>
      <c r="K117" s="181">
        <v>43525</v>
      </c>
      <c r="M117" s="183">
        <f t="shared" si="6"/>
        <v>43503</v>
      </c>
      <c r="N117" s="181">
        <v>43503</v>
      </c>
      <c r="O117" s="10">
        <f>+K117-M117</f>
        <v>22</v>
      </c>
      <c r="P117" s="10">
        <f t="shared" si="7"/>
        <v>0</v>
      </c>
      <c r="Q117" s="10">
        <f>+N117-K117</f>
        <v>-22</v>
      </c>
      <c r="R117" s="10">
        <f t="shared" si="8"/>
        <v>-52</v>
      </c>
      <c r="S117" s="2">
        <v>29</v>
      </c>
      <c r="T117" s="8">
        <f t="shared" si="9"/>
        <v>0</v>
      </c>
      <c r="U117" s="8">
        <f t="shared" si="10"/>
        <v>-308748.44</v>
      </c>
      <c r="V117" s="116">
        <f t="shared" si="11"/>
        <v>129</v>
      </c>
    </row>
    <row r="118" spans="1:22" ht="15">
      <c r="A118" s="180" t="s">
        <v>310</v>
      </c>
      <c r="B118" s="181">
        <v>43496</v>
      </c>
      <c r="C118" s="180" t="s">
        <v>311</v>
      </c>
      <c r="D118" s="182">
        <v>300</v>
      </c>
      <c r="F118" s="180"/>
      <c r="K118" s="181">
        <v>43496</v>
      </c>
      <c r="M118" s="183">
        <f t="shared" si="6"/>
        <v>43522</v>
      </c>
      <c r="N118" s="181">
        <v>43522</v>
      </c>
      <c r="O118" s="10">
        <f>+K118-M118</f>
        <v>-26</v>
      </c>
      <c r="P118" s="10">
        <f t="shared" si="7"/>
        <v>0</v>
      </c>
      <c r="Q118" s="10">
        <f>+N118-K118</f>
        <v>26</v>
      </c>
      <c r="R118" s="10">
        <f t="shared" si="8"/>
        <v>-4</v>
      </c>
      <c r="S118" s="2">
        <v>29</v>
      </c>
      <c r="T118" s="8">
        <f t="shared" si="9"/>
        <v>0</v>
      </c>
      <c r="U118" s="8">
        <f t="shared" si="10"/>
        <v>-1200</v>
      </c>
      <c r="V118" s="116">
        <f t="shared" si="11"/>
        <v>129</v>
      </c>
    </row>
    <row r="119" spans="1:22" ht="15">
      <c r="A119" s="180" t="s">
        <v>312</v>
      </c>
      <c r="B119" s="181">
        <v>43496</v>
      </c>
      <c r="C119" s="180" t="s">
        <v>313</v>
      </c>
      <c r="D119" s="182">
        <v>1393.82</v>
      </c>
      <c r="F119" s="180"/>
      <c r="K119" s="181">
        <v>43496</v>
      </c>
      <c r="M119" s="183">
        <f t="shared" si="6"/>
        <v>43511</v>
      </c>
      <c r="N119" s="181">
        <v>43511</v>
      </c>
      <c r="O119" s="10">
        <f>+K119-M119</f>
        <v>-15</v>
      </c>
      <c r="P119" s="10">
        <f t="shared" si="7"/>
        <v>0</v>
      </c>
      <c r="Q119" s="10">
        <f>+N119-K119</f>
        <v>15</v>
      </c>
      <c r="R119" s="10">
        <f t="shared" si="8"/>
        <v>-15</v>
      </c>
      <c r="S119" s="2">
        <v>29</v>
      </c>
      <c r="T119" s="8">
        <f t="shared" si="9"/>
        <v>0</v>
      </c>
      <c r="U119" s="8">
        <f t="shared" si="10"/>
        <v>-20907.3</v>
      </c>
      <c r="V119" s="116">
        <f t="shared" si="11"/>
        <v>129</v>
      </c>
    </row>
    <row r="120" spans="1:22" ht="15">
      <c r="A120" s="180" t="s">
        <v>314</v>
      </c>
      <c r="B120" s="181">
        <v>43467</v>
      </c>
      <c r="C120" s="180" t="s">
        <v>315</v>
      </c>
      <c r="D120" s="182">
        <v>217.8</v>
      </c>
      <c r="F120" s="180"/>
      <c r="K120" s="181">
        <v>43467</v>
      </c>
      <c r="M120" s="183">
        <f t="shared" si="6"/>
        <v>43473</v>
      </c>
      <c r="N120" s="181">
        <v>43473</v>
      </c>
      <c r="O120" s="10">
        <f>+K120-M120</f>
        <v>-6</v>
      </c>
      <c r="P120" s="10">
        <f t="shared" si="7"/>
        <v>0</v>
      </c>
      <c r="Q120" s="10">
        <f>+N120-K120</f>
        <v>6</v>
      </c>
      <c r="R120" s="10">
        <f t="shared" si="8"/>
        <v>-24</v>
      </c>
      <c r="S120" s="2">
        <v>20</v>
      </c>
      <c r="T120" s="8">
        <f t="shared" si="9"/>
        <v>0</v>
      </c>
      <c r="U120" s="8">
        <f t="shared" si="10"/>
        <v>-5227.200000000001</v>
      </c>
      <c r="V120" s="116">
        <f t="shared" si="11"/>
        <v>120</v>
      </c>
    </row>
    <row r="121" spans="1:22" ht="15">
      <c r="A121" s="180" t="s">
        <v>316</v>
      </c>
      <c r="B121" s="181">
        <v>43516</v>
      </c>
      <c r="C121" s="180" t="s">
        <v>317</v>
      </c>
      <c r="D121" s="182">
        <v>158.13</v>
      </c>
      <c r="F121" s="180"/>
      <c r="K121" s="181">
        <v>43525</v>
      </c>
      <c r="M121" s="183">
        <f t="shared" si="6"/>
        <v>43539</v>
      </c>
      <c r="N121" s="181">
        <v>43539</v>
      </c>
      <c r="O121" s="10">
        <f>+K121-M121</f>
        <v>-14</v>
      </c>
      <c r="P121" s="10">
        <f t="shared" si="7"/>
        <v>0</v>
      </c>
      <c r="Q121" s="10">
        <f>+N121-K121</f>
        <v>14</v>
      </c>
      <c r="R121" s="10">
        <f t="shared" si="8"/>
        <v>-16</v>
      </c>
      <c r="S121" s="2">
        <v>21</v>
      </c>
      <c r="T121" s="8">
        <f t="shared" si="9"/>
        <v>0</v>
      </c>
      <c r="U121" s="8">
        <f t="shared" si="10"/>
        <v>-2530.08</v>
      </c>
      <c r="V121" s="116">
        <f t="shared" si="11"/>
        <v>121</v>
      </c>
    </row>
    <row r="122" spans="1:22" ht="15">
      <c r="A122" s="180" t="s">
        <v>318</v>
      </c>
      <c r="B122" s="181">
        <v>43509</v>
      </c>
      <c r="C122" s="180" t="s">
        <v>319</v>
      </c>
      <c r="D122" s="182">
        <v>1458.61</v>
      </c>
      <c r="F122" s="180"/>
      <c r="K122" s="181">
        <v>43509</v>
      </c>
      <c r="M122" s="183">
        <f t="shared" si="6"/>
        <v>43503</v>
      </c>
      <c r="N122" s="181">
        <v>43503</v>
      </c>
      <c r="O122" s="10">
        <f>+K122-M122</f>
        <v>6</v>
      </c>
      <c r="P122" s="10">
        <f t="shared" si="7"/>
        <v>0</v>
      </c>
      <c r="Q122" s="10">
        <f>+N122-K122</f>
        <v>-6</v>
      </c>
      <c r="R122" s="10">
        <f t="shared" si="8"/>
        <v>-36</v>
      </c>
      <c r="S122" s="2">
        <v>29</v>
      </c>
      <c r="T122" s="8">
        <f t="shared" si="9"/>
        <v>0</v>
      </c>
      <c r="U122" s="8">
        <f t="shared" si="10"/>
        <v>-52509.96</v>
      </c>
      <c r="V122" s="116">
        <f t="shared" si="11"/>
        <v>129</v>
      </c>
    </row>
    <row r="123" spans="1:22" ht="15">
      <c r="A123" s="180" t="s">
        <v>320</v>
      </c>
      <c r="B123" s="181">
        <v>43503</v>
      </c>
      <c r="C123" s="180" t="s">
        <v>321</v>
      </c>
      <c r="D123" s="182">
        <v>128.11</v>
      </c>
      <c r="F123" s="180"/>
      <c r="K123" s="181">
        <v>43503</v>
      </c>
      <c r="M123" s="183">
        <f t="shared" si="6"/>
        <v>43511</v>
      </c>
      <c r="N123" s="181">
        <v>43511</v>
      </c>
      <c r="O123" s="10">
        <f>+K123-M123</f>
        <v>-8</v>
      </c>
      <c r="P123" s="10">
        <f t="shared" si="7"/>
        <v>0</v>
      </c>
      <c r="Q123" s="10">
        <f>+N123-K123</f>
        <v>8</v>
      </c>
      <c r="R123" s="10">
        <f t="shared" si="8"/>
        <v>-22</v>
      </c>
      <c r="S123" s="2">
        <v>29</v>
      </c>
      <c r="T123" s="8">
        <f t="shared" si="9"/>
        <v>0</v>
      </c>
      <c r="U123" s="8">
        <f t="shared" si="10"/>
        <v>-2818.42</v>
      </c>
      <c r="V123" s="116">
        <f t="shared" si="11"/>
        <v>129</v>
      </c>
    </row>
    <row r="124" spans="1:22" ht="15">
      <c r="A124" s="180" t="s">
        <v>322</v>
      </c>
      <c r="B124" s="181">
        <v>43480</v>
      </c>
      <c r="C124" s="180" t="s">
        <v>323</v>
      </c>
      <c r="D124" s="182">
        <v>167.52</v>
      </c>
      <c r="F124" s="180"/>
      <c r="K124" s="181">
        <v>43539</v>
      </c>
      <c r="M124" s="183">
        <f t="shared" si="6"/>
        <v>43539</v>
      </c>
      <c r="N124" s="181">
        <v>43539</v>
      </c>
      <c r="O124" s="10">
        <f>+K124-M124</f>
        <v>0</v>
      </c>
      <c r="P124" s="10">
        <f t="shared" si="7"/>
        <v>0</v>
      </c>
      <c r="Q124" s="10">
        <f>+N124-K124</f>
        <v>0</v>
      </c>
      <c r="R124" s="10">
        <f t="shared" si="8"/>
        <v>-30</v>
      </c>
      <c r="S124" s="2">
        <v>29</v>
      </c>
      <c r="T124" s="8">
        <f t="shared" si="9"/>
        <v>0</v>
      </c>
      <c r="U124" s="8">
        <f t="shared" si="10"/>
        <v>-5025.6</v>
      </c>
      <c r="V124" s="116">
        <f t="shared" si="11"/>
        <v>129</v>
      </c>
    </row>
    <row r="125" spans="1:22" ht="15">
      <c r="A125" s="180" t="s">
        <v>324</v>
      </c>
      <c r="B125" s="181">
        <v>43496</v>
      </c>
      <c r="C125" s="180" t="s">
        <v>325</v>
      </c>
      <c r="D125" s="182">
        <v>869.54</v>
      </c>
      <c r="F125" s="180"/>
      <c r="K125" s="181">
        <v>43496</v>
      </c>
      <c r="M125" s="183">
        <f t="shared" si="6"/>
        <v>43528</v>
      </c>
      <c r="N125" s="181">
        <v>43528</v>
      </c>
      <c r="O125" s="10">
        <f>+K125-M125</f>
        <v>-32</v>
      </c>
      <c r="P125" s="10">
        <f t="shared" si="7"/>
        <v>0</v>
      </c>
      <c r="Q125" s="10">
        <f>+N125-K125</f>
        <v>32</v>
      </c>
      <c r="R125" s="10">
        <f t="shared" si="8"/>
        <v>2</v>
      </c>
      <c r="S125" s="2">
        <v>29</v>
      </c>
      <c r="T125" s="8">
        <f t="shared" si="9"/>
        <v>0</v>
      </c>
      <c r="U125" s="8">
        <f t="shared" si="10"/>
        <v>1739.08</v>
      </c>
      <c r="V125" s="116">
        <f t="shared" si="11"/>
        <v>129</v>
      </c>
    </row>
    <row r="126" spans="1:22" ht="15">
      <c r="A126" s="180" t="s">
        <v>326</v>
      </c>
      <c r="B126" s="181">
        <v>43525</v>
      </c>
      <c r="C126" s="180" t="s">
        <v>327</v>
      </c>
      <c r="D126" s="182">
        <v>114.96</v>
      </c>
      <c r="F126" s="180"/>
      <c r="K126" s="181">
        <v>43546</v>
      </c>
      <c r="M126" s="183">
        <f t="shared" si="6"/>
        <v>43549</v>
      </c>
      <c r="N126" s="181">
        <v>43549</v>
      </c>
      <c r="O126" s="10">
        <f>+K126-M126</f>
        <v>-3</v>
      </c>
      <c r="P126" s="10">
        <f t="shared" si="7"/>
        <v>0</v>
      </c>
      <c r="Q126" s="10">
        <f>+N126-K126</f>
        <v>3</v>
      </c>
      <c r="R126" s="10">
        <f t="shared" si="8"/>
        <v>-27</v>
      </c>
      <c r="S126" s="2">
        <v>21</v>
      </c>
      <c r="T126" s="8">
        <f t="shared" si="9"/>
        <v>0</v>
      </c>
      <c r="U126" s="8">
        <f t="shared" si="10"/>
        <v>-3103.9199999999996</v>
      </c>
      <c r="V126" s="116">
        <f t="shared" si="11"/>
        <v>121</v>
      </c>
    </row>
    <row r="127" spans="1:22" ht="15">
      <c r="A127" s="180" t="s">
        <v>328</v>
      </c>
      <c r="B127" s="181">
        <v>43536</v>
      </c>
      <c r="C127" s="180" t="s">
        <v>329</v>
      </c>
      <c r="D127" s="182">
        <v>108.9</v>
      </c>
      <c r="F127" s="180"/>
      <c r="K127" s="181">
        <v>43546</v>
      </c>
      <c r="M127" s="183">
        <f t="shared" si="6"/>
        <v>43551</v>
      </c>
      <c r="N127" s="181">
        <v>43551</v>
      </c>
      <c r="O127" s="10">
        <f>+K127-M127</f>
        <v>-5</v>
      </c>
      <c r="P127" s="10">
        <f t="shared" si="7"/>
        <v>0</v>
      </c>
      <c r="Q127" s="10">
        <f>+N127-K127</f>
        <v>5</v>
      </c>
      <c r="R127" s="10">
        <f t="shared" si="8"/>
        <v>-25</v>
      </c>
      <c r="S127" s="2">
        <v>29</v>
      </c>
      <c r="T127" s="8">
        <f t="shared" si="9"/>
        <v>0</v>
      </c>
      <c r="U127" s="8">
        <f t="shared" si="10"/>
        <v>-2722.5</v>
      </c>
      <c r="V127" s="116">
        <f t="shared" si="11"/>
        <v>129</v>
      </c>
    </row>
    <row r="128" spans="1:22" ht="15">
      <c r="A128" s="180" t="s">
        <v>330</v>
      </c>
      <c r="B128" s="181">
        <v>43517</v>
      </c>
      <c r="C128" s="180" t="s">
        <v>331</v>
      </c>
      <c r="D128" s="182">
        <v>121.22</v>
      </c>
      <c r="F128" s="180"/>
      <c r="K128" s="181">
        <v>43517</v>
      </c>
      <c r="M128" s="183">
        <f t="shared" si="6"/>
        <v>43552</v>
      </c>
      <c r="N128" s="181">
        <v>43552</v>
      </c>
      <c r="O128" s="10">
        <f>+K128-M128</f>
        <v>-35</v>
      </c>
      <c r="P128" s="10">
        <f t="shared" si="7"/>
        <v>0</v>
      </c>
      <c r="Q128" s="10">
        <f>+N128-K128</f>
        <v>35</v>
      </c>
      <c r="R128" s="10">
        <f t="shared" si="8"/>
        <v>5</v>
      </c>
      <c r="S128" s="2">
        <v>21</v>
      </c>
      <c r="T128" s="8">
        <f t="shared" si="9"/>
        <v>0</v>
      </c>
      <c r="U128" s="8">
        <f t="shared" si="10"/>
        <v>606.1</v>
      </c>
      <c r="V128" s="116">
        <f t="shared" si="11"/>
        <v>121</v>
      </c>
    </row>
    <row r="129" spans="1:22" ht="15">
      <c r="A129" s="180" t="s">
        <v>332</v>
      </c>
      <c r="B129" s="181">
        <v>43517</v>
      </c>
      <c r="C129" s="180" t="s">
        <v>333</v>
      </c>
      <c r="D129" s="182">
        <v>121.22</v>
      </c>
      <c r="F129" s="180"/>
      <c r="K129" s="181">
        <v>43517</v>
      </c>
      <c r="M129" s="183">
        <f t="shared" si="6"/>
        <v>43552</v>
      </c>
      <c r="N129" s="181">
        <v>43552</v>
      </c>
      <c r="O129" s="10">
        <f>+K129-M129</f>
        <v>-35</v>
      </c>
      <c r="P129" s="10">
        <f t="shared" si="7"/>
        <v>0</v>
      </c>
      <c r="Q129" s="10">
        <f>+N129-K129</f>
        <v>35</v>
      </c>
      <c r="R129" s="10">
        <f t="shared" si="8"/>
        <v>5</v>
      </c>
      <c r="S129" s="2">
        <v>21</v>
      </c>
      <c r="T129" s="8">
        <f t="shared" si="9"/>
        <v>0</v>
      </c>
      <c r="U129" s="8">
        <f t="shared" si="10"/>
        <v>606.1</v>
      </c>
      <c r="V129" s="116">
        <f t="shared" si="11"/>
        <v>121</v>
      </c>
    </row>
    <row r="130" spans="1:22" ht="15">
      <c r="A130" s="180" t="s">
        <v>334</v>
      </c>
      <c r="B130" s="181">
        <v>43539</v>
      </c>
      <c r="C130" s="180" t="s">
        <v>335</v>
      </c>
      <c r="D130" s="182">
        <v>121.08</v>
      </c>
      <c r="F130" s="180"/>
      <c r="K130" s="181">
        <v>43546</v>
      </c>
      <c r="M130" s="183">
        <f t="shared" si="6"/>
        <v>43539</v>
      </c>
      <c r="N130" s="181">
        <v>43539</v>
      </c>
      <c r="O130" s="10">
        <f>+K130-M130</f>
        <v>7</v>
      </c>
      <c r="P130" s="10">
        <f t="shared" si="7"/>
        <v>0</v>
      </c>
      <c r="Q130" s="10">
        <f>+N130-K130</f>
        <v>-7</v>
      </c>
      <c r="R130" s="10">
        <f t="shared" si="8"/>
        <v>-37</v>
      </c>
      <c r="S130" s="2">
        <v>29</v>
      </c>
      <c r="T130" s="8">
        <f t="shared" si="9"/>
        <v>0</v>
      </c>
      <c r="U130" s="8">
        <f t="shared" si="10"/>
        <v>-4479.96</v>
      </c>
      <c r="V130" s="116">
        <f t="shared" si="11"/>
        <v>129</v>
      </c>
    </row>
    <row r="131" spans="1:22" ht="15">
      <c r="A131" s="180" t="s">
        <v>336</v>
      </c>
      <c r="B131" s="181">
        <v>43521</v>
      </c>
      <c r="C131" s="180" t="s">
        <v>337</v>
      </c>
      <c r="D131" s="182">
        <v>664.9</v>
      </c>
      <c r="F131" s="180"/>
      <c r="K131" s="181">
        <v>43546</v>
      </c>
      <c r="M131" s="183">
        <f t="shared" si="6"/>
        <v>43551</v>
      </c>
      <c r="N131" s="181">
        <v>43551</v>
      </c>
      <c r="O131" s="10">
        <f>+K131-M131</f>
        <v>-5</v>
      </c>
      <c r="P131" s="10">
        <f t="shared" si="7"/>
        <v>0</v>
      </c>
      <c r="Q131" s="10">
        <f>+N131-K131</f>
        <v>5</v>
      </c>
      <c r="R131" s="10">
        <f t="shared" si="8"/>
        <v>-25</v>
      </c>
      <c r="S131" s="2">
        <v>21</v>
      </c>
      <c r="T131" s="8">
        <f t="shared" si="9"/>
        <v>0</v>
      </c>
      <c r="U131" s="8">
        <f t="shared" si="10"/>
        <v>-16622.5</v>
      </c>
      <c r="V131" s="116">
        <f t="shared" si="11"/>
        <v>121</v>
      </c>
    </row>
    <row r="132" spans="1:22" ht="15">
      <c r="A132" s="180" t="s">
        <v>338</v>
      </c>
      <c r="B132" s="181">
        <v>43537</v>
      </c>
      <c r="C132" s="180" t="s">
        <v>339</v>
      </c>
      <c r="D132" s="182">
        <v>173</v>
      </c>
      <c r="F132" s="180"/>
      <c r="K132" s="181">
        <v>43549</v>
      </c>
      <c r="M132" s="183">
        <f t="shared" si="6"/>
        <v>43539</v>
      </c>
      <c r="N132" s="181">
        <v>43539</v>
      </c>
      <c r="O132" s="10">
        <f>+K132-M132</f>
        <v>10</v>
      </c>
      <c r="P132" s="10">
        <f t="shared" si="7"/>
        <v>0</v>
      </c>
      <c r="Q132" s="10">
        <f>+N132-K132</f>
        <v>-10</v>
      </c>
      <c r="R132" s="10">
        <f t="shared" si="8"/>
        <v>-40</v>
      </c>
      <c r="S132" s="2">
        <v>29</v>
      </c>
      <c r="T132" s="8">
        <f t="shared" si="9"/>
        <v>0</v>
      </c>
      <c r="U132" s="8">
        <f t="shared" si="10"/>
        <v>-6920</v>
      </c>
      <c r="V132" s="116">
        <f t="shared" si="11"/>
        <v>129</v>
      </c>
    </row>
    <row r="133" spans="1:22" ht="15">
      <c r="A133" s="180" t="s">
        <v>340</v>
      </c>
      <c r="B133" s="181">
        <v>43531</v>
      </c>
      <c r="C133" s="180" t="s">
        <v>341</v>
      </c>
      <c r="D133" s="182">
        <v>38.5</v>
      </c>
      <c r="F133" s="180"/>
      <c r="K133" s="181">
        <v>43549</v>
      </c>
      <c r="M133" s="183">
        <f t="shared" si="6"/>
        <v>43551</v>
      </c>
      <c r="N133" s="181">
        <v>43551</v>
      </c>
      <c r="O133" s="10">
        <f>+K133-M133</f>
        <v>-2</v>
      </c>
      <c r="P133" s="10">
        <f t="shared" si="7"/>
        <v>0</v>
      </c>
      <c r="Q133" s="10">
        <f>+N133-K133</f>
        <v>2</v>
      </c>
      <c r="R133" s="10">
        <f t="shared" si="8"/>
        <v>-28</v>
      </c>
      <c r="S133" s="2">
        <v>29</v>
      </c>
      <c r="T133" s="8">
        <f t="shared" si="9"/>
        <v>0</v>
      </c>
      <c r="U133" s="8">
        <f t="shared" si="10"/>
        <v>-1078</v>
      </c>
      <c r="V133" s="116">
        <f t="shared" si="11"/>
        <v>129</v>
      </c>
    </row>
    <row r="134" spans="1:22" ht="15">
      <c r="A134" s="180" t="s">
        <v>342</v>
      </c>
      <c r="B134" s="181">
        <v>43524</v>
      </c>
      <c r="C134" s="180" t="s">
        <v>343</v>
      </c>
      <c r="D134" s="182">
        <v>5408.7</v>
      </c>
      <c r="F134" s="180"/>
      <c r="K134" s="181">
        <v>43549</v>
      </c>
      <c r="M134" s="183">
        <f t="shared" si="6"/>
        <v>43539</v>
      </c>
      <c r="N134" s="181">
        <v>43539</v>
      </c>
      <c r="O134" s="10">
        <f>+K134-M134</f>
        <v>10</v>
      </c>
      <c r="P134" s="10">
        <f t="shared" si="7"/>
        <v>0</v>
      </c>
      <c r="Q134" s="10">
        <f>+N134-K134</f>
        <v>-10</v>
      </c>
      <c r="R134" s="10">
        <f t="shared" si="8"/>
        <v>-40</v>
      </c>
      <c r="S134" s="2">
        <v>29</v>
      </c>
      <c r="T134" s="8">
        <f t="shared" si="9"/>
        <v>0</v>
      </c>
      <c r="U134" s="8">
        <f t="shared" si="10"/>
        <v>-216348</v>
      </c>
      <c r="V134" s="116">
        <f t="shared" si="11"/>
        <v>129</v>
      </c>
    </row>
    <row r="135" spans="1:22" ht="15">
      <c r="A135" s="180" t="s">
        <v>344</v>
      </c>
      <c r="B135" s="181">
        <v>43524</v>
      </c>
      <c r="C135" s="180" t="s">
        <v>345</v>
      </c>
      <c r="D135" s="182">
        <v>242</v>
      </c>
      <c r="F135" s="180"/>
      <c r="K135" s="181">
        <v>43550</v>
      </c>
      <c r="M135" s="183">
        <f aca="true" t="shared" si="12" ref="M135:M198">+N135</f>
        <v>43551</v>
      </c>
      <c r="N135" s="181">
        <v>43551</v>
      </c>
      <c r="O135" s="10">
        <f>+K135-M135</f>
        <v>-1</v>
      </c>
      <c r="P135" s="10">
        <f aca="true" t="shared" si="13" ref="P135:P198">+N135-M135</f>
        <v>0</v>
      </c>
      <c r="Q135" s="10">
        <f>+N135-K135</f>
        <v>1</v>
      </c>
      <c r="R135" s="10">
        <f aca="true" t="shared" si="14" ref="R135:R198">+Q135-30</f>
        <v>-29</v>
      </c>
      <c r="S135" s="2">
        <v>29</v>
      </c>
      <c r="T135" s="8">
        <f aca="true" t="shared" si="15" ref="T135:T198">+P135*D135</f>
        <v>0</v>
      </c>
      <c r="U135" s="8">
        <f aca="true" t="shared" si="16" ref="U135:U198">+R135*D135</f>
        <v>-7018</v>
      </c>
      <c r="V135" s="116">
        <f aca="true" t="shared" si="17" ref="V135:V198">IF(P135&gt;30,200+S135,100+S135)</f>
        <v>129</v>
      </c>
    </row>
    <row r="136" spans="1:22" ht="15">
      <c r="A136" s="180" t="s">
        <v>346</v>
      </c>
      <c r="B136" s="181">
        <v>43536</v>
      </c>
      <c r="C136" s="180" t="s">
        <v>347</v>
      </c>
      <c r="D136" s="182">
        <v>178.25</v>
      </c>
      <c r="F136" s="180"/>
      <c r="K136" s="181">
        <v>43550</v>
      </c>
      <c r="M136" s="183">
        <f t="shared" si="12"/>
        <v>43551</v>
      </c>
      <c r="N136" s="181">
        <v>43551</v>
      </c>
      <c r="O136" s="10">
        <f>+K136-M136</f>
        <v>-1</v>
      </c>
      <c r="P136" s="10">
        <f t="shared" si="13"/>
        <v>0</v>
      </c>
      <c r="Q136" s="10">
        <f>+N136-K136</f>
        <v>1</v>
      </c>
      <c r="R136" s="10">
        <f t="shared" si="14"/>
        <v>-29</v>
      </c>
      <c r="S136" s="2">
        <v>29</v>
      </c>
      <c r="T136" s="8">
        <f t="shared" si="15"/>
        <v>0</v>
      </c>
      <c r="U136" s="8">
        <f t="shared" si="16"/>
        <v>-5169.25</v>
      </c>
      <c r="V136" s="116">
        <f t="shared" si="17"/>
        <v>129</v>
      </c>
    </row>
    <row r="137" spans="1:22" ht="15">
      <c r="A137" s="180" t="s">
        <v>348</v>
      </c>
      <c r="B137" s="181">
        <v>43481</v>
      </c>
      <c r="C137" s="180" t="s">
        <v>349</v>
      </c>
      <c r="D137" s="182">
        <v>219.3</v>
      </c>
      <c r="F137" s="180"/>
      <c r="K137" s="181">
        <v>43550</v>
      </c>
      <c r="M137" s="183">
        <f t="shared" si="12"/>
        <v>43551</v>
      </c>
      <c r="N137" s="181">
        <v>43551</v>
      </c>
      <c r="O137" s="10">
        <f>+K137-M137</f>
        <v>-1</v>
      </c>
      <c r="P137" s="10">
        <f t="shared" si="13"/>
        <v>0</v>
      </c>
      <c r="Q137" s="10">
        <f>+N137-K137</f>
        <v>1</v>
      </c>
      <c r="R137" s="10">
        <f t="shared" si="14"/>
        <v>-29</v>
      </c>
      <c r="S137" s="2">
        <v>29</v>
      </c>
      <c r="T137" s="8">
        <f t="shared" si="15"/>
        <v>0</v>
      </c>
      <c r="U137" s="8">
        <f t="shared" si="16"/>
        <v>-6359.700000000001</v>
      </c>
      <c r="V137" s="116">
        <f t="shared" si="17"/>
        <v>129</v>
      </c>
    </row>
    <row r="138" spans="1:22" ht="15">
      <c r="A138" s="180" t="s">
        <v>350</v>
      </c>
      <c r="B138" s="181">
        <v>43536</v>
      </c>
      <c r="C138" s="180" t="s">
        <v>351</v>
      </c>
      <c r="D138" s="182">
        <v>5372.4</v>
      </c>
      <c r="F138" s="180"/>
      <c r="K138" s="181">
        <v>43550</v>
      </c>
      <c r="M138" s="183">
        <f t="shared" si="12"/>
        <v>43551</v>
      </c>
      <c r="N138" s="181">
        <v>43551</v>
      </c>
      <c r="O138" s="10">
        <f>+K138-M138</f>
        <v>-1</v>
      </c>
      <c r="P138" s="10">
        <f t="shared" si="13"/>
        <v>0</v>
      </c>
      <c r="Q138" s="10">
        <f>+N138-K138</f>
        <v>1</v>
      </c>
      <c r="R138" s="10">
        <f t="shared" si="14"/>
        <v>-29</v>
      </c>
      <c r="S138" s="2">
        <v>29</v>
      </c>
      <c r="T138" s="8">
        <f t="shared" si="15"/>
        <v>0</v>
      </c>
      <c r="U138" s="8">
        <f t="shared" si="16"/>
        <v>-155799.59999999998</v>
      </c>
      <c r="V138" s="116">
        <f t="shared" si="17"/>
        <v>129</v>
      </c>
    </row>
    <row r="139" spans="1:22" ht="15">
      <c r="A139" s="180" t="s">
        <v>352</v>
      </c>
      <c r="B139" s="181">
        <v>43518</v>
      </c>
      <c r="C139" s="180" t="s">
        <v>353</v>
      </c>
      <c r="D139" s="182">
        <v>50</v>
      </c>
      <c r="F139" s="180"/>
      <c r="K139" s="181">
        <v>43518</v>
      </c>
      <c r="M139" s="183">
        <f t="shared" si="12"/>
        <v>43518</v>
      </c>
      <c r="N139" s="181">
        <v>43518</v>
      </c>
      <c r="O139" s="10">
        <f>+K139-M139</f>
        <v>0</v>
      </c>
      <c r="P139" s="10">
        <f t="shared" si="13"/>
        <v>0</v>
      </c>
      <c r="Q139" s="10">
        <f>+N139-K139</f>
        <v>0</v>
      </c>
      <c r="R139" s="10">
        <f t="shared" si="14"/>
        <v>-30</v>
      </c>
      <c r="S139" s="2">
        <v>29</v>
      </c>
      <c r="T139" s="8">
        <f t="shared" si="15"/>
        <v>0</v>
      </c>
      <c r="U139" s="8">
        <f t="shared" si="16"/>
        <v>-1500</v>
      </c>
      <c r="V139" s="116">
        <f t="shared" si="17"/>
        <v>129</v>
      </c>
    </row>
    <row r="140" spans="1:22" ht="15">
      <c r="A140" s="180" t="s">
        <v>354</v>
      </c>
      <c r="B140" s="181">
        <v>43539</v>
      </c>
      <c r="C140" s="180" t="s">
        <v>355</v>
      </c>
      <c r="D140" s="182">
        <v>1672.22</v>
      </c>
      <c r="F140" s="180"/>
      <c r="K140" s="181">
        <v>43550</v>
      </c>
      <c r="M140" s="183">
        <f t="shared" si="12"/>
        <v>43539</v>
      </c>
      <c r="N140" s="181">
        <v>43539</v>
      </c>
      <c r="O140" s="10">
        <f>+K140-M140</f>
        <v>11</v>
      </c>
      <c r="P140" s="10">
        <f t="shared" si="13"/>
        <v>0</v>
      </c>
      <c r="Q140" s="10">
        <f>+N140-K140</f>
        <v>-11</v>
      </c>
      <c r="R140" s="10">
        <f t="shared" si="14"/>
        <v>-41</v>
      </c>
      <c r="S140" s="2">
        <v>21</v>
      </c>
      <c r="T140" s="8">
        <f t="shared" si="15"/>
        <v>0</v>
      </c>
      <c r="U140" s="8">
        <f t="shared" si="16"/>
        <v>-68561.02</v>
      </c>
      <c r="V140" s="116">
        <f t="shared" si="17"/>
        <v>121</v>
      </c>
    </row>
    <row r="141" spans="1:22" ht="15">
      <c r="A141" s="180" t="s">
        <v>356</v>
      </c>
      <c r="B141" s="181">
        <v>43523</v>
      </c>
      <c r="C141" s="180" t="s">
        <v>357</v>
      </c>
      <c r="D141" s="182">
        <v>18.54</v>
      </c>
      <c r="F141" s="180"/>
      <c r="K141" s="181">
        <v>43523</v>
      </c>
      <c r="M141" s="183">
        <f t="shared" si="12"/>
        <v>43542</v>
      </c>
      <c r="N141" s="181">
        <v>43542</v>
      </c>
      <c r="O141" s="10">
        <f>+K141-M141</f>
        <v>-19</v>
      </c>
      <c r="P141" s="10">
        <f t="shared" si="13"/>
        <v>0</v>
      </c>
      <c r="Q141" s="10">
        <f>+N141-K141</f>
        <v>19</v>
      </c>
      <c r="R141" s="10">
        <f t="shared" si="14"/>
        <v>-11</v>
      </c>
      <c r="S141" s="2">
        <v>29</v>
      </c>
      <c r="T141" s="8">
        <f t="shared" si="15"/>
        <v>0</v>
      </c>
      <c r="U141" s="8">
        <f t="shared" si="16"/>
        <v>-203.94</v>
      </c>
      <c r="V141" s="116">
        <f t="shared" si="17"/>
        <v>129</v>
      </c>
    </row>
    <row r="142" spans="1:22" ht="15">
      <c r="A142" s="180" t="s">
        <v>358</v>
      </c>
      <c r="B142" s="181">
        <v>43523</v>
      </c>
      <c r="C142" s="180" t="s">
        <v>359</v>
      </c>
      <c r="D142" s="182">
        <v>28.44</v>
      </c>
      <c r="F142" s="180"/>
      <c r="K142" s="181">
        <v>43523</v>
      </c>
      <c r="M142" s="183">
        <f t="shared" si="12"/>
        <v>43542</v>
      </c>
      <c r="N142" s="181">
        <v>43542</v>
      </c>
      <c r="O142" s="10">
        <f>+K142-M142</f>
        <v>-19</v>
      </c>
      <c r="P142" s="10">
        <f t="shared" si="13"/>
        <v>0</v>
      </c>
      <c r="Q142" s="10">
        <f>+N142-K142</f>
        <v>19</v>
      </c>
      <c r="R142" s="10">
        <f t="shared" si="14"/>
        <v>-11</v>
      </c>
      <c r="S142" s="2">
        <v>29</v>
      </c>
      <c r="T142" s="8">
        <f t="shared" si="15"/>
        <v>0</v>
      </c>
      <c r="U142" s="8">
        <f t="shared" si="16"/>
        <v>-312.84000000000003</v>
      </c>
      <c r="V142" s="116">
        <f t="shared" si="17"/>
        <v>129</v>
      </c>
    </row>
    <row r="143" spans="1:22" ht="15">
      <c r="A143" s="180" t="s">
        <v>360</v>
      </c>
      <c r="B143" s="181">
        <v>43524</v>
      </c>
      <c r="C143" s="180" t="s">
        <v>361</v>
      </c>
      <c r="D143" s="182">
        <v>1108.17</v>
      </c>
      <c r="F143" s="180"/>
      <c r="K143" s="181">
        <v>43524</v>
      </c>
      <c r="M143" s="183">
        <f t="shared" si="12"/>
        <v>43525</v>
      </c>
      <c r="N143" s="181">
        <v>43525</v>
      </c>
      <c r="O143" s="10">
        <f>+K143-M143</f>
        <v>-1</v>
      </c>
      <c r="P143" s="10">
        <f t="shared" si="13"/>
        <v>0</v>
      </c>
      <c r="Q143" s="10">
        <f>+N143-K143</f>
        <v>1</v>
      </c>
      <c r="R143" s="10">
        <f t="shared" si="14"/>
        <v>-29</v>
      </c>
      <c r="S143" s="2">
        <v>29</v>
      </c>
      <c r="T143" s="8">
        <f t="shared" si="15"/>
        <v>0</v>
      </c>
      <c r="U143" s="8">
        <f t="shared" si="16"/>
        <v>-32136.93</v>
      </c>
      <c r="V143" s="116">
        <f t="shared" si="17"/>
        <v>129</v>
      </c>
    </row>
    <row r="144" spans="1:22" ht="15">
      <c r="A144" s="180" t="s">
        <v>362</v>
      </c>
      <c r="B144" s="181">
        <v>43544</v>
      </c>
      <c r="C144" s="180" t="s">
        <v>363</v>
      </c>
      <c r="D144" s="182">
        <v>158.13</v>
      </c>
      <c r="F144" s="180"/>
      <c r="K144" s="181">
        <v>43551</v>
      </c>
      <c r="M144" s="183">
        <f t="shared" si="12"/>
        <v>43539</v>
      </c>
      <c r="N144" s="181">
        <v>43539</v>
      </c>
      <c r="O144" s="10">
        <f>+K144-M144</f>
        <v>12</v>
      </c>
      <c r="P144" s="10">
        <f t="shared" si="13"/>
        <v>0</v>
      </c>
      <c r="Q144" s="10">
        <f>+N144-K144</f>
        <v>-12</v>
      </c>
      <c r="R144" s="10">
        <f t="shared" si="14"/>
        <v>-42</v>
      </c>
      <c r="S144" s="2">
        <v>21</v>
      </c>
      <c r="T144" s="8">
        <f t="shared" si="15"/>
        <v>0</v>
      </c>
      <c r="U144" s="8">
        <f t="shared" si="16"/>
        <v>-6641.46</v>
      </c>
      <c r="V144" s="116">
        <f t="shared" si="17"/>
        <v>121</v>
      </c>
    </row>
    <row r="145" spans="1:22" ht="15">
      <c r="A145" s="180" t="s">
        <v>364</v>
      </c>
      <c r="B145" s="181">
        <v>43528</v>
      </c>
      <c r="C145" s="180" t="s">
        <v>365</v>
      </c>
      <c r="D145" s="182">
        <v>228.3</v>
      </c>
      <c r="F145" s="180"/>
      <c r="K145" s="181">
        <v>43551</v>
      </c>
      <c r="M145" s="183">
        <f t="shared" si="12"/>
        <v>43539</v>
      </c>
      <c r="N145" s="181">
        <v>43539</v>
      </c>
      <c r="O145" s="10">
        <f>+K145-M145</f>
        <v>12</v>
      </c>
      <c r="P145" s="10">
        <f t="shared" si="13"/>
        <v>0</v>
      </c>
      <c r="Q145" s="10">
        <f>+N145-K145</f>
        <v>-12</v>
      </c>
      <c r="R145" s="10">
        <f t="shared" si="14"/>
        <v>-42</v>
      </c>
      <c r="S145" s="2">
        <v>29</v>
      </c>
      <c r="T145" s="8">
        <f t="shared" si="15"/>
        <v>0</v>
      </c>
      <c r="U145" s="8">
        <f t="shared" si="16"/>
        <v>-9588.6</v>
      </c>
      <c r="V145" s="116">
        <f t="shared" si="17"/>
        <v>129</v>
      </c>
    </row>
    <row r="146" spans="1:22" ht="15">
      <c r="A146" s="180" t="s">
        <v>366</v>
      </c>
      <c r="B146" s="181">
        <v>43523</v>
      </c>
      <c r="C146" s="180" t="s">
        <v>367</v>
      </c>
      <c r="D146" s="182">
        <v>16.82</v>
      </c>
      <c r="F146" s="180"/>
      <c r="K146" s="181">
        <v>43523</v>
      </c>
      <c r="M146" s="183">
        <f t="shared" si="12"/>
        <v>43542</v>
      </c>
      <c r="N146" s="181">
        <v>43542</v>
      </c>
      <c r="O146" s="10">
        <f>+K146-M146</f>
        <v>-19</v>
      </c>
      <c r="P146" s="10">
        <f t="shared" si="13"/>
        <v>0</v>
      </c>
      <c r="Q146" s="10">
        <f>+N146-K146</f>
        <v>19</v>
      </c>
      <c r="R146" s="10">
        <f t="shared" si="14"/>
        <v>-11</v>
      </c>
      <c r="S146" s="2">
        <v>29</v>
      </c>
      <c r="T146" s="8">
        <f t="shared" si="15"/>
        <v>0</v>
      </c>
      <c r="U146" s="8">
        <f t="shared" si="16"/>
        <v>-185.02</v>
      </c>
      <c r="V146" s="116">
        <f t="shared" si="17"/>
        <v>129</v>
      </c>
    </row>
    <row r="147" spans="1:22" ht="15">
      <c r="A147" s="180" t="s">
        <v>368</v>
      </c>
      <c r="B147" s="181">
        <v>43523</v>
      </c>
      <c r="C147" s="180" t="s">
        <v>369</v>
      </c>
      <c r="D147" s="182">
        <v>37.29</v>
      </c>
      <c r="F147" s="180"/>
      <c r="K147" s="181">
        <v>43523</v>
      </c>
      <c r="M147" s="183">
        <f t="shared" si="12"/>
        <v>43542</v>
      </c>
      <c r="N147" s="181">
        <v>43542</v>
      </c>
      <c r="O147" s="10">
        <f>+K147-M147</f>
        <v>-19</v>
      </c>
      <c r="P147" s="10">
        <f t="shared" si="13"/>
        <v>0</v>
      </c>
      <c r="Q147" s="10">
        <f>+N147-K147</f>
        <v>19</v>
      </c>
      <c r="R147" s="10">
        <f t="shared" si="14"/>
        <v>-11</v>
      </c>
      <c r="S147" s="2">
        <v>29</v>
      </c>
      <c r="T147" s="8">
        <f t="shared" si="15"/>
        <v>0</v>
      </c>
      <c r="U147" s="8">
        <f t="shared" si="16"/>
        <v>-410.19</v>
      </c>
      <c r="V147" s="116">
        <f t="shared" si="17"/>
        <v>129</v>
      </c>
    </row>
    <row r="148" spans="1:22" ht="15">
      <c r="A148" s="180" t="s">
        <v>370</v>
      </c>
      <c r="B148" s="181">
        <v>43523</v>
      </c>
      <c r="C148" s="180" t="s">
        <v>371</v>
      </c>
      <c r="D148" s="182">
        <v>45.08</v>
      </c>
      <c r="F148" s="180"/>
      <c r="K148" s="181">
        <v>43523</v>
      </c>
      <c r="M148" s="183">
        <f t="shared" si="12"/>
        <v>43542</v>
      </c>
      <c r="N148" s="181">
        <v>43542</v>
      </c>
      <c r="O148" s="10">
        <f>+K148-M148</f>
        <v>-19</v>
      </c>
      <c r="P148" s="10">
        <f t="shared" si="13"/>
        <v>0</v>
      </c>
      <c r="Q148" s="10">
        <f>+N148-K148</f>
        <v>19</v>
      </c>
      <c r="R148" s="10">
        <f t="shared" si="14"/>
        <v>-11</v>
      </c>
      <c r="S148" s="2">
        <v>29</v>
      </c>
      <c r="T148" s="8">
        <f t="shared" si="15"/>
        <v>0</v>
      </c>
      <c r="U148" s="8">
        <f t="shared" si="16"/>
        <v>-495.88</v>
      </c>
      <c r="V148" s="116">
        <f t="shared" si="17"/>
        <v>129</v>
      </c>
    </row>
    <row r="149" spans="1:22" ht="15">
      <c r="A149" s="180" t="s">
        <v>372</v>
      </c>
      <c r="B149" s="181">
        <v>43523</v>
      </c>
      <c r="C149" s="180" t="s">
        <v>373</v>
      </c>
      <c r="D149" s="182">
        <v>25.37</v>
      </c>
      <c r="F149" s="180"/>
      <c r="K149" s="181">
        <v>43523</v>
      </c>
      <c r="M149" s="183">
        <f t="shared" si="12"/>
        <v>43542</v>
      </c>
      <c r="N149" s="181">
        <v>43542</v>
      </c>
      <c r="O149" s="10">
        <f>+K149-M149</f>
        <v>-19</v>
      </c>
      <c r="P149" s="10">
        <f t="shared" si="13"/>
        <v>0</v>
      </c>
      <c r="Q149" s="10">
        <f>+N149-K149</f>
        <v>19</v>
      </c>
      <c r="R149" s="10">
        <f t="shared" si="14"/>
        <v>-11</v>
      </c>
      <c r="S149" s="2">
        <v>29</v>
      </c>
      <c r="T149" s="8">
        <f t="shared" si="15"/>
        <v>0</v>
      </c>
      <c r="U149" s="8">
        <f t="shared" si="16"/>
        <v>-279.07</v>
      </c>
      <c r="V149" s="116">
        <f t="shared" si="17"/>
        <v>129</v>
      </c>
    </row>
    <row r="150" spans="1:22" ht="15">
      <c r="A150" s="180" t="s">
        <v>374</v>
      </c>
      <c r="B150" s="181">
        <v>43495</v>
      </c>
      <c r="C150" s="180" t="s">
        <v>375</v>
      </c>
      <c r="D150" s="182">
        <v>366.01</v>
      </c>
      <c r="F150" s="180"/>
      <c r="K150" s="181">
        <v>43495</v>
      </c>
      <c r="M150" s="183">
        <f t="shared" si="12"/>
        <v>43514</v>
      </c>
      <c r="N150" s="181">
        <v>43514</v>
      </c>
      <c r="O150" s="10">
        <f>+K150-M150</f>
        <v>-19</v>
      </c>
      <c r="P150" s="10">
        <f t="shared" si="13"/>
        <v>0</v>
      </c>
      <c r="Q150" s="10">
        <f>+N150-K150</f>
        <v>19</v>
      </c>
      <c r="R150" s="10">
        <f t="shared" si="14"/>
        <v>-11</v>
      </c>
      <c r="S150" s="2">
        <v>29</v>
      </c>
      <c r="T150" s="8">
        <f t="shared" si="15"/>
        <v>0</v>
      </c>
      <c r="U150" s="8">
        <f t="shared" si="16"/>
        <v>-4026.1099999999997</v>
      </c>
      <c r="V150" s="116">
        <f t="shared" si="17"/>
        <v>129</v>
      </c>
    </row>
    <row r="151" spans="1:22" ht="15">
      <c r="A151" s="180" t="s">
        <v>376</v>
      </c>
      <c r="B151" s="181">
        <v>43497</v>
      </c>
      <c r="C151" s="180" t="s">
        <v>377</v>
      </c>
      <c r="D151" s="182">
        <v>61.41</v>
      </c>
      <c r="F151" s="180"/>
      <c r="K151" s="181">
        <v>43497</v>
      </c>
      <c r="M151" s="183">
        <f t="shared" si="12"/>
        <v>43501</v>
      </c>
      <c r="N151" s="181">
        <v>43501</v>
      </c>
      <c r="O151" s="10">
        <f>+K151-M151</f>
        <v>-4</v>
      </c>
      <c r="P151" s="10">
        <f t="shared" si="13"/>
        <v>0</v>
      </c>
      <c r="Q151" s="10">
        <f>+N151-K151</f>
        <v>4</v>
      </c>
      <c r="R151" s="10">
        <f t="shared" si="14"/>
        <v>-26</v>
      </c>
      <c r="S151" s="2">
        <v>20</v>
      </c>
      <c r="T151" s="8">
        <f t="shared" si="15"/>
        <v>0</v>
      </c>
      <c r="U151" s="8">
        <f t="shared" si="16"/>
        <v>-1596.6599999999999</v>
      </c>
      <c r="V151" s="116">
        <f t="shared" si="17"/>
        <v>120</v>
      </c>
    </row>
    <row r="152" spans="1:22" ht="15">
      <c r="A152" s="180" t="s">
        <v>378</v>
      </c>
      <c r="B152" s="181">
        <v>43497</v>
      </c>
      <c r="C152" s="180" t="s">
        <v>379</v>
      </c>
      <c r="D152" s="182">
        <v>28.6</v>
      </c>
      <c r="F152" s="180"/>
      <c r="K152" s="181">
        <v>43497</v>
      </c>
      <c r="M152" s="183">
        <f t="shared" si="12"/>
        <v>43501</v>
      </c>
      <c r="N152" s="181">
        <v>43501</v>
      </c>
      <c r="O152" s="10">
        <f>+K152-M152</f>
        <v>-4</v>
      </c>
      <c r="P152" s="10">
        <f t="shared" si="13"/>
        <v>0</v>
      </c>
      <c r="Q152" s="10">
        <f>+N152-K152</f>
        <v>4</v>
      </c>
      <c r="R152" s="10">
        <f t="shared" si="14"/>
        <v>-26</v>
      </c>
      <c r="S152" s="2">
        <v>20</v>
      </c>
      <c r="T152" s="8">
        <f t="shared" si="15"/>
        <v>0</v>
      </c>
      <c r="U152" s="8">
        <f t="shared" si="16"/>
        <v>-743.6</v>
      </c>
      <c r="V152" s="116">
        <f t="shared" si="17"/>
        <v>120</v>
      </c>
    </row>
    <row r="153" spans="1:22" ht="15">
      <c r="A153" s="180" t="s">
        <v>380</v>
      </c>
      <c r="B153" s="181">
        <v>43525</v>
      </c>
      <c r="C153" s="180" t="s">
        <v>381</v>
      </c>
      <c r="D153" s="182">
        <v>28.6</v>
      </c>
      <c r="F153" s="180"/>
      <c r="K153" s="181">
        <v>43525</v>
      </c>
      <c r="M153" s="183">
        <f t="shared" si="12"/>
        <v>43529</v>
      </c>
      <c r="N153" s="181">
        <v>43529</v>
      </c>
      <c r="O153" s="10">
        <f>+K153-M153</f>
        <v>-4</v>
      </c>
      <c r="P153" s="10">
        <f t="shared" si="13"/>
        <v>0</v>
      </c>
      <c r="Q153" s="10">
        <f>+N153-K153</f>
        <v>4</v>
      </c>
      <c r="R153" s="10">
        <f t="shared" si="14"/>
        <v>-26</v>
      </c>
      <c r="S153" s="2">
        <v>20</v>
      </c>
      <c r="T153" s="8">
        <f t="shared" si="15"/>
        <v>0</v>
      </c>
      <c r="U153" s="8">
        <f t="shared" si="16"/>
        <v>-743.6</v>
      </c>
      <c r="V153" s="116">
        <f t="shared" si="17"/>
        <v>120</v>
      </c>
    </row>
    <row r="154" spans="1:22" ht="15">
      <c r="A154" s="180" t="s">
        <v>382</v>
      </c>
      <c r="B154" s="181">
        <v>43525</v>
      </c>
      <c r="C154" s="180" t="s">
        <v>383</v>
      </c>
      <c r="D154" s="182">
        <v>61.41</v>
      </c>
      <c r="F154" s="180"/>
      <c r="K154" s="181">
        <v>43525</v>
      </c>
      <c r="M154" s="183">
        <f t="shared" si="12"/>
        <v>43529</v>
      </c>
      <c r="N154" s="181">
        <v>43529</v>
      </c>
      <c r="O154" s="10">
        <f>+K154-M154</f>
        <v>-4</v>
      </c>
      <c r="P154" s="10">
        <f t="shared" si="13"/>
        <v>0</v>
      </c>
      <c r="Q154" s="10">
        <f>+N154-K154</f>
        <v>4</v>
      </c>
      <c r="R154" s="10">
        <f t="shared" si="14"/>
        <v>-26</v>
      </c>
      <c r="S154" s="2">
        <v>20</v>
      </c>
      <c r="T154" s="8">
        <f t="shared" si="15"/>
        <v>0</v>
      </c>
      <c r="U154" s="8">
        <f t="shared" si="16"/>
        <v>-1596.6599999999999</v>
      </c>
      <c r="V154" s="116">
        <f t="shared" si="17"/>
        <v>120</v>
      </c>
    </row>
    <row r="155" spans="1:22" ht="15">
      <c r="A155" s="180" t="s">
        <v>384</v>
      </c>
      <c r="B155" s="181">
        <v>43525</v>
      </c>
      <c r="C155" s="180" t="s">
        <v>385</v>
      </c>
      <c r="D155" s="182">
        <v>217.8</v>
      </c>
      <c r="F155" s="180"/>
      <c r="K155" s="181">
        <v>43525</v>
      </c>
      <c r="M155" s="183">
        <f t="shared" si="12"/>
        <v>43529</v>
      </c>
      <c r="N155" s="181">
        <v>43529</v>
      </c>
      <c r="O155" s="10">
        <f>+K155-M155</f>
        <v>-4</v>
      </c>
      <c r="P155" s="10">
        <f t="shared" si="13"/>
        <v>0</v>
      </c>
      <c r="Q155" s="10">
        <f>+N155-K155</f>
        <v>4</v>
      </c>
      <c r="R155" s="10">
        <f t="shared" si="14"/>
        <v>-26</v>
      </c>
      <c r="S155" s="2">
        <v>20</v>
      </c>
      <c r="T155" s="8">
        <f t="shared" si="15"/>
        <v>0</v>
      </c>
      <c r="U155" s="8">
        <f t="shared" si="16"/>
        <v>-5662.8</v>
      </c>
      <c r="V155" s="116">
        <f t="shared" si="17"/>
        <v>120</v>
      </c>
    </row>
    <row r="156" spans="1:22" ht="15">
      <c r="A156" s="180" t="s">
        <v>386</v>
      </c>
      <c r="B156" s="181">
        <v>43497</v>
      </c>
      <c r="C156" s="180" t="s">
        <v>387</v>
      </c>
      <c r="D156" s="182">
        <v>217.8</v>
      </c>
      <c r="F156" s="180"/>
      <c r="K156" s="181">
        <v>43497</v>
      </c>
      <c r="M156" s="183">
        <f t="shared" si="12"/>
        <v>43501</v>
      </c>
      <c r="N156" s="181">
        <v>43501</v>
      </c>
      <c r="O156" s="10">
        <f>+K156-M156</f>
        <v>-4</v>
      </c>
      <c r="P156" s="10">
        <f t="shared" si="13"/>
        <v>0</v>
      </c>
      <c r="Q156" s="10">
        <f>+N156-K156</f>
        <v>4</v>
      </c>
      <c r="R156" s="10">
        <f t="shared" si="14"/>
        <v>-26</v>
      </c>
      <c r="S156" s="2">
        <v>20</v>
      </c>
      <c r="T156" s="8">
        <f t="shared" si="15"/>
        <v>0</v>
      </c>
      <c r="U156" s="8">
        <f t="shared" si="16"/>
        <v>-5662.8</v>
      </c>
      <c r="V156" s="116">
        <f t="shared" si="17"/>
        <v>120</v>
      </c>
    </row>
    <row r="157" spans="1:22" ht="15">
      <c r="A157" s="180" t="s">
        <v>388</v>
      </c>
      <c r="B157" s="181">
        <v>43523</v>
      </c>
      <c r="C157" s="180" t="s">
        <v>389</v>
      </c>
      <c r="D157" s="182">
        <v>655.43</v>
      </c>
      <c r="F157" s="180"/>
      <c r="K157" s="181">
        <v>43523</v>
      </c>
      <c r="M157" s="183">
        <f t="shared" si="12"/>
        <v>43542</v>
      </c>
      <c r="N157" s="181">
        <v>43542</v>
      </c>
      <c r="O157" s="10">
        <f>+K157-M157</f>
        <v>-19</v>
      </c>
      <c r="P157" s="10">
        <f t="shared" si="13"/>
        <v>0</v>
      </c>
      <c r="Q157" s="10">
        <f>+N157-K157</f>
        <v>19</v>
      </c>
      <c r="R157" s="10">
        <f t="shared" si="14"/>
        <v>-11</v>
      </c>
      <c r="S157" s="2">
        <v>29</v>
      </c>
      <c r="T157" s="8">
        <f t="shared" si="15"/>
        <v>0</v>
      </c>
      <c r="U157" s="8">
        <f t="shared" si="16"/>
        <v>-7209.73</v>
      </c>
      <c r="V157" s="116">
        <f t="shared" si="17"/>
        <v>129</v>
      </c>
    </row>
    <row r="158" spans="1:22" ht="15">
      <c r="A158" s="180" t="s">
        <v>390</v>
      </c>
      <c r="B158" s="181">
        <v>43525</v>
      </c>
      <c r="C158" s="180" t="s">
        <v>391</v>
      </c>
      <c r="D158" s="182">
        <v>62.23</v>
      </c>
      <c r="F158" s="180"/>
      <c r="K158" s="181">
        <v>43525</v>
      </c>
      <c r="M158" s="183">
        <f t="shared" si="12"/>
        <v>43525</v>
      </c>
      <c r="N158" s="181">
        <v>43525</v>
      </c>
      <c r="O158" s="10">
        <f>+K158-M158</f>
        <v>0</v>
      </c>
      <c r="P158" s="10">
        <f t="shared" si="13"/>
        <v>0</v>
      </c>
      <c r="Q158" s="10">
        <f>+N158-K158</f>
        <v>0</v>
      </c>
      <c r="R158" s="10">
        <f t="shared" si="14"/>
        <v>-30</v>
      </c>
      <c r="S158" s="2">
        <v>21</v>
      </c>
      <c r="T158" s="8">
        <f t="shared" si="15"/>
        <v>0</v>
      </c>
      <c r="U158" s="8">
        <f t="shared" si="16"/>
        <v>-1866.8999999999999</v>
      </c>
      <c r="V158" s="116">
        <f t="shared" si="17"/>
        <v>121</v>
      </c>
    </row>
    <row r="159" spans="1:22" ht="15">
      <c r="A159" s="180" t="s">
        <v>392</v>
      </c>
      <c r="B159" s="181">
        <v>43509</v>
      </c>
      <c r="C159" s="180" t="s">
        <v>393</v>
      </c>
      <c r="D159" s="182">
        <v>125.84</v>
      </c>
      <c r="F159" s="180"/>
      <c r="K159" s="181">
        <v>43509</v>
      </c>
      <c r="M159" s="183">
        <f t="shared" si="12"/>
        <v>43521</v>
      </c>
      <c r="N159" s="181">
        <v>43521</v>
      </c>
      <c r="O159" s="10">
        <f>+K159-M159</f>
        <v>-12</v>
      </c>
      <c r="P159" s="10">
        <f t="shared" si="13"/>
        <v>0</v>
      </c>
      <c r="Q159" s="10">
        <f>+N159-K159</f>
        <v>12</v>
      </c>
      <c r="R159" s="10">
        <f t="shared" si="14"/>
        <v>-18</v>
      </c>
      <c r="S159" s="2">
        <v>69</v>
      </c>
      <c r="T159" s="8">
        <f t="shared" si="15"/>
        <v>0</v>
      </c>
      <c r="U159" s="8">
        <f t="shared" si="16"/>
        <v>-2265.12</v>
      </c>
      <c r="V159" s="116">
        <f t="shared" si="17"/>
        <v>169</v>
      </c>
    </row>
    <row r="160" spans="1:22" ht="15">
      <c r="A160" s="180" t="s">
        <v>394</v>
      </c>
      <c r="B160" s="181">
        <v>43529</v>
      </c>
      <c r="C160" s="180" t="s">
        <v>395</v>
      </c>
      <c r="D160" s="182">
        <v>1185.8</v>
      </c>
      <c r="F160" s="180"/>
      <c r="K160" s="181">
        <v>43529</v>
      </c>
      <c r="M160" s="183">
        <f t="shared" si="12"/>
        <v>43536</v>
      </c>
      <c r="N160" s="181">
        <v>43536</v>
      </c>
      <c r="O160" s="10">
        <f>+K160-M160</f>
        <v>-7</v>
      </c>
      <c r="P160" s="10">
        <f t="shared" si="13"/>
        <v>0</v>
      </c>
      <c r="Q160" s="10">
        <f>+N160-K160</f>
        <v>7</v>
      </c>
      <c r="R160" s="10">
        <f t="shared" si="14"/>
        <v>-23</v>
      </c>
      <c r="S160" s="2">
        <v>21</v>
      </c>
      <c r="T160" s="8">
        <f t="shared" si="15"/>
        <v>0</v>
      </c>
      <c r="U160" s="8">
        <f t="shared" si="16"/>
        <v>-27273.399999999998</v>
      </c>
      <c r="V160" s="116">
        <f t="shared" si="17"/>
        <v>121</v>
      </c>
    </row>
    <row r="161" spans="1:22" ht="15">
      <c r="A161" s="180" t="s">
        <v>396</v>
      </c>
      <c r="B161" s="181">
        <v>43484</v>
      </c>
      <c r="C161" s="180" t="s">
        <v>397</v>
      </c>
      <c r="D161" s="182">
        <v>62.4</v>
      </c>
      <c r="F161" s="180"/>
      <c r="K161" s="181">
        <v>43484</v>
      </c>
      <c r="M161" s="183">
        <f t="shared" si="12"/>
        <v>43486</v>
      </c>
      <c r="N161" s="181">
        <v>43486</v>
      </c>
      <c r="O161" s="10">
        <f>+K161-M161</f>
        <v>-2</v>
      </c>
      <c r="P161" s="10">
        <f t="shared" si="13"/>
        <v>0</v>
      </c>
      <c r="Q161" s="10">
        <f>+N161-K161</f>
        <v>2</v>
      </c>
      <c r="R161" s="10">
        <f t="shared" si="14"/>
        <v>-28</v>
      </c>
      <c r="S161" s="2">
        <v>29</v>
      </c>
      <c r="T161" s="8">
        <f t="shared" si="15"/>
        <v>0</v>
      </c>
      <c r="U161" s="8">
        <f t="shared" si="16"/>
        <v>-1747.2</v>
      </c>
      <c r="V161" s="116">
        <f t="shared" si="17"/>
        <v>129</v>
      </c>
    </row>
    <row r="162" spans="1:22" ht="15">
      <c r="A162" s="180" t="s">
        <v>398</v>
      </c>
      <c r="B162" s="181">
        <v>43515</v>
      </c>
      <c r="C162" s="180" t="s">
        <v>399</v>
      </c>
      <c r="D162" s="182">
        <v>65.02</v>
      </c>
      <c r="F162" s="180"/>
      <c r="K162" s="181">
        <v>43515</v>
      </c>
      <c r="M162" s="183">
        <f t="shared" si="12"/>
        <v>43515</v>
      </c>
      <c r="N162" s="181">
        <v>43515</v>
      </c>
      <c r="O162" s="10">
        <f>+K162-M162</f>
        <v>0</v>
      </c>
      <c r="P162" s="10">
        <f t="shared" si="13"/>
        <v>0</v>
      </c>
      <c r="Q162" s="10">
        <f>+N162-K162</f>
        <v>0</v>
      </c>
      <c r="R162" s="10">
        <f t="shared" si="14"/>
        <v>-30</v>
      </c>
      <c r="S162" s="2">
        <v>29</v>
      </c>
      <c r="T162" s="8">
        <f t="shared" si="15"/>
        <v>0</v>
      </c>
      <c r="U162" s="8">
        <f t="shared" si="16"/>
        <v>-1950.6</v>
      </c>
      <c r="V162" s="116">
        <f t="shared" si="17"/>
        <v>129</v>
      </c>
    </row>
    <row r="163" spans="1:22" ht="15">
      <c r="A163" s="180" t="s">
        <v>400</v>
      </c>
      <c r="B163" s="181">
        <v>43543</v>
      </c>
      <c r="C163" s="180" t="s">
        <v>401</v>
      </c>
      <c r="D163" s="182">
        <v>65.39</v>
      </c>
      <c r="F163" s="180"/>
      <c r="K163" s="181">
        <v>43543</v>
      </c>
      <c r="M163" s="183">
        <f t="shared" si="12"/>
        <v>43543</v>
      </c>
      <c r="N163" s="181">
        <v>43543</v>
      </c>
      <c r="O163" s="10">
        <f>+K163-M163</f>
        <v>0</v>
      </c>
      <c r="P163" s="10">
        <f t="shared" si="13"/>
        <v>0</v>
      </c>
      <c r="Q163" s="10">
        <f>+N163-K163</f>
        <v>0</v>
      </c>
      <c r="R163" s="10">
        <f t="shared" si="14"/>
        <v>-30</v>
      </c>
      <c r="S163" s="2">
        <v>29</v>
      </c>
      <c r="T163" s="8">
        <f t="shared" si="15"/>
        <v>0</v>
      </c>
      <c r="U163" s="8">
        <f t="shared" si="16"/>
        <v>-1961.7</v>
      </c>
      <c r="V163" s="116">
        <f t="shared" si="17"/>
        <v>129</v>
      </c>
    </row>
    <row r="164" spans="1:22" ht="15">
      <c r="A164" s="180" t="s">
        <v>402</v>
      </c>
      <c r="B164" s="181">
        <v>43524</v>
      </c>
      <c r="C164" s="180" t="s">
        <v>403</v>
      </c>
      <c r="D164" s="182">
        <v>346.06</v>
      </c>
      <c r="F164" s="180"/>
      <c r="K164" s="181">
        <v>43524</v>
      </c>
      <c r="M164" s="183">
        <f t="shared" si="12"/>
        <v>43525</v>
      </c>
      <c r="N164" s="181">
        <v>43525</v>
      </c>
      <c r="O164" s="10">
        <f>+K164-M164</f>
        <v>-1</v>
      </c>
      <c r="P164" s="10">
        <f t="shared" si="13"/>
        <v>0</v>
      </c>
      <c r="Q164" s="10">
        <f>+N164-K164</f>
        <v>1</v>
      </c>
      <c r="R164" s="10">
        <f t="shared" si="14"/>
        <v>-29</v>
      </c>
      <c r="S164" s="2">
        <v>29</v>
      </c>
      <c r="T164" s="8">
        <f t="shared" si="15"/>
        <v>0</v>
      </c>
      <c r="U164" s="8">
        <f t="shared" si="16"/>
        <v>-10035.74</v>
      </c>
      <c r="V164" s="116">
        <f t="shared" si="17"/>
        <v>129</v>
      </c>
    </row>
    <row r="165" spans="1:22" ht="15">
      <c r="A165" s="180" t="s">
        <v>404</v>
      </c>
      <c r="B165" s="181">
        <v>43537</v>
      </c>
      <c r="C165" s="180" t="s">
        <v>405</v>
      </c>
      <c r="D165" s="182">
        <v>19.46</v>
      </c>
      <c r="F165" s="180"/>
      <c r="K165" s="181">
        <v>43537</v>
      </c>
      <c r="M165" s="183">
        <f t="shared" si="12"/>
        <v>43543</v>
      </c>
      <c r="N165" s="181">
        <v>43543</v>
      </c>
      <c r="O165" s="10">
        <f>+K165-M165</f>
        <v>-6</v>
      </c>
      <c r="P165" s="10">
        <f t="shared" si="13"/>
        <v>0</v>
      </c>
      <c r="Q165" s="10">
        <f>+N165-K165</f>
        <v>6</v>
      </c>
      <c r="R165" s="10">
        <f t="shared" si="14"/>
        <v>-24</v>
      </c>
      <c r="S165" s="2">
        <v>22</v>
      </c>
      <c r="T165" s="8">
        <f t="shared" si="15"/>
        <v>0</v>
      </c>
      <c r="U165" s="8">
        <f t="shared" si="16"/>
        <v>-467.04</v>
      </c>
      <c r="V165" s="116">
        <f t="shared" si="17"/>
        <v>122</v>
      </c>
    </row>
    <row r="166" spans="1:22" ht="15">
      <c r="A166" s="180" t="s">
        <v>406</v>
      </c>
      <c r="B166" s="181">
        <v>43524</v>
      </c>
      <c r="C166" s="180" t="s">
        <v>407</v>
      </c>
      <c r="D166" s="182">
        <v>75</v>
      </c>
      <c r="F166" s="180"/>
      <c r="K166" s="181">
        <v>43524</v>
      </c>
      <c r="M166" s="183">
        <f t="shared" si="12"/>
        <v>43554</v>
      </c>
      <c r="N166" s="181">
        <v>43554</v>
      </c>
      <c r="O166" s="10">
        <f>+K166-M166</f>
        <v>-30</v>
      </c>
      <c r="P166" s="10">
        <f t="shared" si="13"/>
        <v>0</v>
      </c>
      <c r="Q166" s="10">
        <f>+N166-K166</f>
        <v>30</v>
      </c>
      <c r="R166" s="10">
        <f t="shared" si="14"/>
        <v>0</v>
      </c>
      <c r="S166" s="2">
        <v>29</v>
      </c>
      <c r="T166" s="8">
        <f t="shared" si="15"/>
        <v>0</v>
      </c>
      <c r="U166" s="8">
        <f t="shared" si="16"/>
        <v>0</v>
      </c>
      <c r="V166" s="116">
        <f t="shared" si="17"/>
        <v>129</v>
      </c>
    </row>
    <row r="167" spans="1:22" ht="15">
      <c r="A167" s="180" t="s">
        <v>408</v>
      </c>
      <c r="B167" s="181">
        <v>43524</v>
      </c>
      <c r="C167" s="180" t="s">
        <v>409</v>
      </c>
      <c r="D167" s="182">
        <v>2843.5</v>
      </c>
      <c r="F167" s="180"/>
      <c r="K167" s="181">
        <v>43524</v>
      </c>
      <c r="M167" s="183">
        <f t="shared" si="12"/>
        <v>43554</v>
      </c>
      <c r="N167" s="181">
        <v>43554</v>
      </c>
      <c r="O167" s="10">
        <f>+K167-M167</f>
        <v>-30</v>
      </c>
      <c r="P167" s="10">
        <f t="shared" si="13"/>
        <v>0</v>
      </c>
      <c r="Q167" s="10">
        <f>+N167-K167</f>
        <v>30</v>
      </c>
      <c r="R167" s="10">
        <f t="shared" si="14"/>
        <v>0</v>
      </c>
      <c r="S167" s="2">
        <v>29</v>
      </c>
      <c r="T167" s="8">
        <f t="shared" si="15"/>
        <v>0</v>
      </c>
      <c r="U167" s="8">
        <f t="shared" si="16"/>
        <v>0</v>
      </c>
      <c r="V167" s="116">
        <f t="shared" si="17"/>
        <v>129</v>
      </c>
    </row>
    <row r="168" spans="1:22" ht="15">
      <c r="A168" s="180" t="s">
        <v>410</v>
      </c>
      <c r="B168" s="181">
        <v>43524</v>
      </c>
      <c r="C168" s="180" t="s">
        <v>411</v>
      </c>
      <c r="D168" s="182">
        <v>87.23</v>
      </c>
      <c r="F168" s="180"/>
      <c r="K168" s="181">
        <v>43524</v>
      </c>
      <c r="M168" s="183">
        <f t="shared" si="12"/>
        <v>43530</v>
      </c>
      <c r="N168" s="181">
        <v>43530</v>
      </c>
      <c r="O168" s="10">
        <f>+K168-M168</f>
        <v>-6</v>
      </c>
      <c r="P168" s="10">
        <f t="shared" si="13"/>
        <v>0</v>
      </c>
      <c r="Q168" s="10">
        <f>+N168-K168</f>
        <v>6</v>
      </c>
      <c r="R168" s="10">
        <f t="shared" si="14"/>
        <v>-24</v>
      </c>
      <c r="S168" s="2">
        <v>29</v>
      </c>
      <c r="T168" s="8">
        <f t="shared" si="15"/>
        <v>0</v>
      </c>
      <c r="U168" s="8">
        <f t="shared" si="16"/>
        <v>-2093.52</v>
      </c>
      <c r="V168" s="116">
        <f t="shared" si="17"/>
        <v>129</v>
      </c>
    </row>
    <row r="169" spans="1:22" ht="15">
      <c r="A169" s="180" t="s">
        <v>412</v>
      </c>
      <c r="B169" s="181">
        <v>43524</v>
      </c>
      <c r="C169" s="180" t="s">
        <v>413</v>
      </c>
      <c r="D169" s="182">
        <v>1464.06</v>
      </c>
      <c r="F169" s="180"/>
      <c r="K169" s="181">
        <v>43524</v>
      </c>
      <c r="M169" s="183">
        <f t="shared" si="12"/>
        <v>43525</v>
      </c>
      <c r="N169" s="181">
        <v>43525</v>
      </c>
      <c r="O169" s="10">
        <f>+K169-M169</f>
        <v>-1</v>
      </c>
      <c r="P169" s="10">
        <f t="shared" si="13"/>
        <v>0</v>
      </c>
      <c r="Q169" s="10">
        <f>+N169-K169</f>
        <v>1</v>
      </c>
      <c r="R169" s="10">
        <f t="shared" si="14"/>
        <v>-29</v>
      </c>
      <c r="S169" s="2">
        <v>29</v>
      </c>
      <c r="T169" s="8">
        <f t="shared" si="15"/>
        <v>0</v>
      </c>
      <c r="U169" s="8">
        <f t="shared" si="16"/>
        <v>-42457.74</v>
      </c>
      <c r="V169" s="116">
        <f t="shared" si="17"/>
        <v>129</v>
      </c>
    </row>
    <row r="170" spans="1:22" ht="15">
      <c r="A170" s="180" t="s">
        <v>414</v>
      </c>
      <c r="B170" s="181">
        <v>43523</v>
      </c>
      <c r="C170" s="180" t="s">
        <v>415</v>
      </c>
      <c r="D170" s="182">
        <v>828.09</v>
      </c>
      <c r="F170" s="180"/>
      <c r="K170" s="181">
        <v>43523</v>
      </c>
      <c r="M170" s="183">
        <f t="shared" si="12"/>
        <v>43542</v>
      </c>
      <c r="N170" s="181">
        <v>43542</v>
      </c>
      <c r="O170" s="10">
        <f>+K170-M170</f>
        <v>-19</v>
      </c>
      <c r="P170" s="10">
        <f t="shared" si="13"/>
        <v>0</v>
      </c>
      <c r="Q170" s="10">
        <f>+N170-K170</f>
        <v>19</v>
      </c>
      <c r="R170" s="10">
        <f t="shared" si="14"/>
        <v>-11</v>
      </c>
      <c r="S170" s="2">
        <v>29</v>
      </c>
      <c r="T170" s="8">
        <f t="shared" si="15"/>
        <v>0</v>
      </c>
      <c r="U170" s="8">
        <f t="shared" si="16"/>
        <v>-9108.99</v>
      </c>
      <c r="V170" s="116">
        <f t="shared" si="17"/>
        <v>129</v>
      </c>
    </row>
    <row r="171" spans="1:22" ht="15">
      <c r="A171" s="180" t="s">
        <v>416</v>
      </c>
      <c r="B171" s="181">
        <v>43524</v>
      </c>
      <c r="C171" s="180" t="s">
        <v>417</v>
      </c>
      <c r="D171" s="182">
        <v>455.4</v>
      </c>
      <c r="F171" s="180"/>
      <c r="K171" s="181">
        <v>43524</v>
      </c>
      <c r="M171" s="183">
        <f t="shared" si="12"/>
        <v>43554</v>
      </c>
      <c r="N171" s="181">
        <v>43554</v>
      </c>
      <c r="O171" s="10">
        <f>+K171-M171</f>
        <v>-30</v>
      </c>
      <c r="P171" s="10">
        <f t="shared" si="13"/>
        <v>0</v>
      </c>
      <c r="Q171" s="10">
        <f>+N171-K171</f>
        <v>30</v>
      </c>
      <c r="R171" s="10">
        <f t="shared" si="14"/>
        <v>0</v>
      </c>
      <c r="S171" s="2">
        <v>29</v>
      </c>
      <c r="T171" s="8">
        <f t="shared" si="15"/>
        <v>0</v>
      </c>
      <c r="U171" s="8">
        <f t="shared" si="16"/>
        <v>0</v>
      </c>
      <c r="V171" s="116">
        <f t="shared" si="17"/>
        <v>129</v>
      </c>
    </row>
    <row r="172" spans="1:22" ht="15">
      <c r="A172" s="180" t="s">
        <v>418</v>
      </c>
      <c r="B172" s="181">
        <v>43496</v>
      </c>
      <c r="C172" s="180" t="s">
        <v>419</v>
      </c>
      <c r="D172" s="182">
        <v>42.45</v>
      </c>
      <c r="F172" s="180"/>
      <c r="K172" s="181">
        <v>43496</v>
      </c>
      <c r="M172" s="183">
        <f t="shared" si="12"/>
        <v>43524</v>
      </c>
      <c r="N172" s="181">
        <v>43524</v>
      </c>
      <c r="O172" s="10">
        <f>+K172-M172</f>
        <v>-28</v>
      </c>
      <c r="P172" s="10">
        <f t="shared" si="13"/>
        <v>0</v>
      </c>
      <c r="Q172" s="10">
        <f>+N172-K172</f>
        <v>28</v>
      </c>
      <c r="R172" s="10">
        <f t="shared" si="14"/>
        <v>-2</v>
      </c>
      <c r="S172" s="2">
        <v>29</v>
      </c>
      <c r="T172" s="8">
        <f t="shared" si="15"/>
        <v>0</v>
      </c>
      <c r="U172" s="8">
        <f t="shared" si="16"/>
        <v>-84.9</v>
      </c>
      <c r="V172" s="116">
        <f t="shared" si="17"/>
        <v>129</v>
      </c>
    </row>
    <row r="173" spans="1:22" ht="15">
      <c r="A173" s="180" t="s">
        <v>420</v>
      </c>
      <c r="B173" s="181">
        <v>43486</v>
      </c>
      <c r="C173" s="180" t="s">
        <v>421</v>
      </c>
      <c r="D173" s="182">
        <v>8.47</v>
      </c>
      <c r="F173" s="180"/>
      <c r="K173" s="181">
        <v>43486</v>
      </c>
      <c r="M173" s="183">
        <f t="shared" si="12"/>
        <v>43488</v>
      </c>
      <c r="N173" s="181">
        <v>43488</v>
      </c>
      <c r="O173" s="10">
        <f>+K173-M173</f>
        <v>-2</v>
      </c>
      <c r="P173" s="10">
        <f t="shared" si="13"/>
        <v>0</v>
      </c>
      <c r="Q173" s="10">
        <f>+N173-K173</f>
        <v>2</v>
      </c>
      <c r="R173" s="10">
        <f t="shared" si="14"/>
        <v>-28</v>
      </c>
      <c r="S173" s="2">
        <v>21</v>
      </c>
      <c r="T173" s="8">
        <f t="shared" si="15"/>
        <v>0</v>
      </c>
      <c r="U173" s="8">
        <f t="shared" si="16"/>
        <v>-237.16000000000003</v>
      </c>
      <c r="V173" s="116">
        <f t="shared" si="17"/>
        <v>121</v>
      </c>
    </row>
    <row r="174" spans="1:22" ht="15">
      <c r="A174" s="180" t="s">
        <v>422</v>
      </c>
      <c r="B174" s="181">
        <v>43487</v>
      </c>
      <c r="C174" s="180" t="s">
        <v>423</v>
      </c>
      <c r="D174" s="182">
        <v>1.21</v>
      </c>
      <c r="F174" s="180"/>
      <c r="K174" s="181">
        <v>43487</v>
      </c>
      <c r="M174" s="183">
        <f t="shared" si="12"/>
        <v>43487</v>
      </c>
      <c r="N174" s="181">
        <v>43487</v>
      </c>
      <c r="O174" s="10">
        <f>+K174-M174</f>
        <v>0</v>
      </c>
      <c r="P174" s="10">
        <f t="shared" si="13"/>
        <v>0</v>
      </c>
      <c r="Q174" s="10">
        <f>+N174-K174</f>
        <v>0</v>
      </c>
      <c r="R174" s="10">
        <f t="shared" si="14"/>
        <v>-30</v>
      </c>
      <c r="S174" s="2">
        <v>21</v>
      </c>
      <c r="T174" s="8">
        <f t="shared" si="15"/>
        <v>0</v>
      </c>
      <c r="U174" s="8">
        <f t="shared" si="16"/>
        <v>-36.3</v>
      </c>
      <c r="V174" s="116">
        <f t="shared" si="17"/>
        <v>121</v>
      </c>
    </row>
    <row r="175" spans="1:22" ht="15">
      <c r="A175" s="180" t="s">
        <v>424</v>
      </c>
      <c r="B175" s="181">
        <v>43496</v>
      </c>
      <c r="C175" s="180" t="s">
        <v>425</v>
      </c>
      <c r="D175" s="182">
        <v>1.21</v>
      </c>
      <c r="F175" s="180"/>
      <c r="K175" s="181">
        <v>43496</v>
      </c>
      <c r="M175" s="183">
        <f t="shared" si="12"/>
        <v>43489</v>
      </c>
      <c r="N175" s="181">
        <v>43489</v>
      </c>
      <c r="O175" s="10">
        <f>+K175-M175</f>
        <v>7</v>
      </c>
      <c r="P175" s="10">
        <f t="shared" si="13"/>
        <v>0</v>
      </c>
      <c r="Q175" s="10">
        <f>+N175-K175</f>
        <v>-7</v>
      </c>
      <c r="R175" s="10">
        <f t="shared" si="14"/>
        <v>-37</v>
      </c>
      <c r="S175" s="2">
        <v>21</v>
      </c>
      <c r="T175" s="8">
        <f t="shared" si="15"/>
        <v>0</v>
      </c>
      <c r="U175" s="8">
        <f t="shared" si="16"/>
        <v>-44.769999999999996</v>
      </c>
      <c r="V175" s="116">
        <f t="shared" si="17"/>
        <v>121</v>
      </c>
    </row>
    <row r="176" spans="1:22" ht="15">
      <c r="A176" s="180" t="s">
        <v>426</v>
      </c>
      <c r="B176" s="181">
        <v>43497</v>
      </c>
      <c r="C176" s="180" t="s">
        <v>427</v>
      </c>
      <c r="D176" s="182">
        <v>1.21</v>
      </c>
      <c r="F176" s="180"/>
      <c r="K176" s="181">
        <v>43497</v>
      </c>
      <c r="M176" s="183">
        <f t="shared" si="12"/>
        <v>43501</v>
      </c>
      <c r="N176" s="181">
        <v>43501</v>
      </c>
      <c r="O176" s="10">
        <f>+K176-M176</f>
        <v>-4</v>
      </c>
      <c r="P176" s="10">
        <f t="shared" si="13"/>
        <v>0</v>
      </c>
      <c r="Q176" s="10">
        <f>+N176-K176</f>
        <v>4</v>
      </c>
      <c r="R176" s="10">
        <f t="shared" si="14"/>
        <v>-26</v>
      </c>
      <c r="S176" s="2">
        <v>21</v>
      </c>
      <c r="T176" s="8">
        <f t="shared" si="15"/>
        <v>0</v>
      </c>
      <c r="U176" s="8">
        <f t="shared" si="16"/>
        <v>-31.46</v>
      </c>
      <c r="V176" s="116">
        <f t="shared" si="17"/>
        <v>121</v>
      </c>
    </row>
    <row r="177" spans="1:22" ht="15">
      <c r="A177" s="180" t="s">
        <v>428</v>
      </c>
      <c r="B177" s="181">
        <v>43500</v>
      </c>
      <c r="C177" s="180" t="s">
        <v>429</v>
      </c>
      <c r="D177" s="182">
        <v>4.84</v>
      </c>
      <c r="F177" s="180"/>
      <c r="K177" s="181">
        <v>43500</v>
      </c>
      <c r="M177" s="183">
        <f t="shared" si="12"/>
        <v>43503</v>
      </c>
      <c r="N177" s="181">
        <v>43503</v>
      </c>
      <c r="O177" s="10">
        <f>+K177-M177</f>
        <v>-3</v>
      </c>
      <c r="P177" s="10">
        <f t="shared" si="13"/>
        <v>0</v>
      </c>
      <c r="Q177" s="10">
        <f>+N177-K177</f>
        <v>3</v>
      </c>
      <c r="R177" s="10">
        <f t="shared" si="14"/>
        <v>-27</v>
      </c>
      <c r="S177" s="2">
        <v>21</v>
      </c>
      <c r="T177" s="8">
        <f t="shared" si="15"/>
        <v>0</v>
      </c>
      <c r="U177" s="8">
        <f t="shared" si="16"/>
        <v>-130.68</v>
      </c>
      <c r="V177" s="116">
        <f t="shared" si="17"/>
        <v>121</v>
      </c>
    </row>
    <row r="178" spans="1:22" ht="15">
      <c r="A178" s="180" t="s">
        <v>430</v>
      </c>
      <c r="B178" s="181">
        <v>43523</v>
      </c>
      <c r="C178" s="180" t="s">
        <v>431</v>
      </c>
      <c r="D178" s="182">
        <v>18.16</v>
      </c>
      <c r="F178" s="180"/>
      <c r="K178" s="181">
        <v>43523</v>
      </c>
      <c r="M178" s="183">
        <f t="shared" si="12"/>
        <v>43528</v>
      </c>
      <c r="N178" s="181">
        <v>43528</v>
      </c>
      <c r="O178" s="10">
        <f>+K178-M178</f>
        <v>-5</v>
      </c>
      <c r="P178" s="10">
        <f t="shared" si="13"/>
        <v>0</v>
      </c>
      <c r="Q178" s="10">
        <f>+N178-K178</f>
        <v>5</v>
      </c>
      <c r="R178" s="10">
        <f t="shared" si="14"/>
        <v>-25</v>
      </c>
      <c r="S178" s="2">
        <v>21</v>
      </c>
      <c r="T178" s="8">
        <f t="shared" si="15"/>
        <v>0</v>
      </c>
      <c r="U178" s="8">
        <f t="shared" si="16"/>
        <v>-454</v>
      </c>
      <c r="V178" s="116">
        <f t="shared" si="17"/>
        <v>121</v>
      </c>
    </row>
    <row r="179" spans="1:22" ht="15">
      <c r="A179" s="180" t="s">
        <v>432</v>
      </c>
      <c r="B179" s="181">
        <v>43551</v>
      </c>
      <c r="C179" s="180" t="s">
        <v>433</v>
      </c>
      <c r="D179" s="182">
        <v>52.03</v>
      </c>
      <c r="F179" s="180"/>
      <c r="K179" s="181">
        <v>43551</v>
      </c>
      <c r="M179" s="183">
        <f t="shared" si="12"/>
        <v>43553</v>
      </c>
      <c r="N179" s="181">
        <v>43553</v>
      </c>
      <c r="O179" s="10">
        <f>+K179-M179</f>
        <v>-2</v>
      </c>
      <c r="P179" s="10">
        <f t="shared" si="13"/>
        <v>0</v>
      </c>
      <c r="Q179" s="10">
        <f>+N179-K179</f>
        <v>2</v>
      </c>
      <c r="R179" s="10">
        <f t="shared" si="14"/>
        <v>-28</v>
      </c>
      <c r="S179" s="2">
        <v>21</v>
      </c>
      <c r="T179" s="8">
        <f t="shared" si="15"/>
        <v>0</v>
      </c>
      <c r="U179" s="8">
        <f t="shared" si="16"/>
        <v>-1456.8400000000001</v>
      </c>
      <c r="V179" s="116">
        <f t="shared" si="17"/>
        <v>121</v>
      </c>
    </row>
    <row r="180" spans="1:22" ht="15">
      <c r="A180" s="180" t="s">
        <v>434</v>
      </c>
      <c r="B180" s="181">
        <v>43480</v>
      </c>
      <c r="C180" s="180" t="s">
        <v>435</v>
      </c>
      <c r="D180" s="182">
        <v>21</v>
      </c>
      <c r="F180" s="180"/>
      <c r="K180" s="181">
        <v>43480</v>
      </c>
      <c r="M180" s="183">
        <f t="shared" si="12"/>
        <v>43482</v>
      </c>
      <c r="N180" s="181">
        <v>43482</v>
      </c>
      <c r="O180" s="10">
        <f>+K180-M180</f>
        <v>-2</v>
      </c>
      <c r="P180" s="10">
        <f t="shared" si="13"/>
        <v>0</v>
      </c>
      <c r="Q180" s="10">
        <f>+N180-K180</f>
        <v>2</v>
      </c>
      <c r="R180" s="10">
        <f t="shared" si="14"/>
        <v>-28</v>
      </c>
      <c r="S180" s="2">
        <v>21</v>
      </c>
      <c r="T180" s="8">
        <f t="shared" si="15"/>
        <v>0</v>
      </c>
      <c r="U180" s="8">
        <f t="shared" si="16"/>
        <v>-588</v>
      </c>
      <c r="V180" s="116">
        <f t="shared" si="17"/>
        <v>121</v>
      </c>
    </row>
    <row r="181" spans="1:22" ht="15">
      <c r="A181" s="180" t="s">
        <v>436</v>
      </c>
      <c r="B181" s="181">
        <v>43480</v>
      </c>
      <c r="C181" s="180" t="s">
        <v>437</v>
      </c>
      <c r="D181" s="182">
        <v>39.4</v>
      </c>
      <c r="F181" s="180"/>
      <c r="K181" s="181">
        <v>43480</v>
      </c>
      <c r="M181" s="183">
        <f t="shared" si="12"/>
        <v>43482</v>
      </c>
      <c r="N181" s="181">
        <v>43482</v>
      </c>
      <c r="O181" s="10">
        <f>+K181-M181</f>
        <v>-2</v>
      </c>
      <c r="P181" s="10">
        <f t="shared" si="13"/>
        <v>0</v>
      </c>
      <c r="Q181" s="10">
        <f>+N181-K181</f>
        <v>2</v>
      </c>
      <c r="R181" s="10">
        <f t="shared" si="14"/>
        <v>-28</v>
      </c>
      <c r="S181" s="2">
        <v>21</v>
      </c>
      <c r="T181" s="8">
        <f t="shared" si="15"/>
        <v>0</v>
      </c>
      <c r="U181" s="8">
        <f t="shared" si="16"/>
        <v>-1103.2</v>
      </c>
      <c r="V181" s="116">
        <f t="shared" si="17"/>
        <v>121</v>
      </c>
    </row>
    <row r="182" spans="1:22" ht="15">
      <c r="A182" s="180" t="s">
        <v>438</v>
      </c>
      <c r="B182" s="181">
        <v>43511</v>
      </c>
      <c r="C182" s="180" t="s">
        <v>439</v>
      </c>
      <c r="D182" s="182">
        <v>21</v>
      </c>
      <c r="F182" s="180"/>
      <c r="K182" s="181">
        <v>43511</v>
      </c>
      <c r="M182" s="183">
        <f t="shared" si="12"/>
        <v>43515</v>
      </c>
      <c r="N182" s="181">
        <v>43515</v>
      </c>
      <c r="O182" s="10">
        <f>+K182-M182</f>
        <v>-4</v>
      </c>
      <c r="P182" s="10">
        <f t="shared" si="13"/>
        <v>0</v>
      </c>
      <c r="Q182" s="10">
        <f>+N182-K182</f>
        <v>4</v>
      </c>
      <c r="R182" s="10">
        <f t="shared" si="14"/>
        <v>-26</v>
      </c>
      <c r="S182" s="2">
        <v>21</v>
      </c>
      <c r="T182" s="8">
        <f t="shared" si="15"/>
        <v>0</v>
      </c>
      <c r="U182" s="8">
        <f t="shared" si="16"/>
        <v>-546</v>
      </c>
      <c r="V182" s="116">
        <f t="shared" si="17"/>
        <v>121</v>
      </c>
    </row>
    <row r="183" spans="1:22" ht="15">
      <c r="A183" s="180" t="s">
        <v>440</v>
      </c>
      <c r="B183" s="181">
        <v>43511</v>
      </c>
      <c r="C183" s="180" t="s">
        <v>441</v>
      </c>
      <c r="D183" s="182">
        <v>39.4</v>
      </c>
      <c r="F183" s="180"/>
      <c r="K183" s="181">
        <v>43511</v>
      </c>
      <c r="M183" s="183">
        <f t="shared" si="12"/>
        <v>43515</v>
      </c>
      <c r="N183" s="181">
        <v>43515</v>
      </c>
      <c r="O183" s="10">
        <f>+K183-M183</f>
        <v>-4</v>
      </c>
      <c r="P183" s="10">
        <f t="shared" si="13"/>
        <v>0</v>
      </c>
      <c r="Q183" s="10">
        <f>+N183-K183</f>
        <v>4</v>
      </c>
      <c r="R183" s="10">
        <f t="shared" si="14"/>
        <v>-26</v>
      </c>
      <c r="S183" s="2">
        <v>21</v>
      </c>
      <c r="T183" s="8">
        <f t="shared" si="15"/>
        <v>0</v>
      </c>
      <c r="U183" s="8">
        <f t="shared" si="16"/>
        <v>-1024.3999999999999</v>
      </c>
      <c r="V183" s="116">
        <f t="shared" si="17"/>
        <v>121</v>
      </c>
    </row>
    <row r="184" spans="1:22" ht="15">
      <c r="A184" s="180" t="s">
        <v>442</v>
      </c>
      <c r="B184" s="181">
        <v>43539</v>
      </c>
      <c r="C184" s="180" t="s">
        <v>443</v>
      </c>
      <c r="D184" s="182">
        <v>21</v>
      </c>
      <c r="F184" s="180"/>
      <c r="K184" s="181">
        <v>43539</v>
      </c>
      <c r="M184" s="183">
        <f t="shared" si="12"/>
        <v>43545</v>
      </c>
      <c r="N184" s="181">
        <v>43545</v>
      </c>
      <c r="O184" s="10">
        <f>+K184-M184</f>
        <v>-6</v>
      </c>
      <c r="P184" s="10">
        <f t="shared" si="13"/>
        <v>0</v>
      </c>
      <c r="Q184" s="10">
        <f>+N184-K184</f>
        <v>6</v>
      </c>
      <c r="R184" s="10">
        <f t="shared" si="14"/>
        <v>-24</v>
      </c>
      <c r="S184" s="2">
        <v>21</v>
      </c>
      <c r="T184" s="8">
        <f t="shared" si="15"/>
        <v>0</v>
      </c>
      <c r="U184" s="8">
        <f t="shared" si="16"/>
        <v>-504</v>
      </c>
      <c r="V184" s="116">
        <f t="shared" si="17"/>
        <v>121</v>
      </c>
    </row>
    <row r="185" spans="1:22" ht="15">
      <c r="A185" s="180" t="s">
        <v>444</v>
      </c>
      <c r="B185" s="181">
        <v>43539</v>
      </c>
      <c r="C185" s="180" t="s">
        <v>445</v>
      </c>
      <c r="D185" s="182">
        <v>39.4</v>
      </c>
      <c r="F185" s="180"/>
      <c r="K185" s="181">
        <v>43539</v>
      </c>
      <c r="M185" s="183">
        <f t="shared" si="12"/>
        <v>43545</v>
      </c>
      <c r="N185" s="181">
        <v>43545</v>
      </c>
      <c r="O185" s="10">
        <f>+K185-M185</f>
        <v>-6</v>
      </c>
      <c r="P185" s="10">
        <f t="shared" si="13"/>
        <v>0</v>
      </c>
      <c r="Q185" s="10">
        <f>+N185-K185</f>
        <v>6</v>
      </c>
      <c r="R185" s="10">
        <f t="shared" si="14"/>
        <v>-24</v>
      </c>
      <c r="S185" s="2">
        <v>21</v>
      </c>
      <c r="T185" s="8">
        <f t="shared" si="15"/>
        <v>0</v>
      </c>
      <c r="U185" s="8">
        <f t="shared" si="16"/>
        <v>-945.5999999999999</v>
      </c>
      <c r="V185" s="116">
        <f t="shared" si="17"/>
        <v>121</v>
      </c>
    </row>
    <row r="186" spans="1:22" ht="15">
      <c r="A186" s="180" t="s">
        <v>446</v>
      </c>
      <c r="B186" s="181">
        <v>43525</v>
      </c>
      <c r="C186" s="180" t="s">
        <v>447</v>
      </c>
      <c r="D186" s="182">
        <v>53.63</v>
      </c>
      <c r="F186" s="180"/>
      <c r="K186" s="181">
        <v>43525</v>
      </c>
      <c r="M186" s="183">
        <f t="shared" si="12"/>
        <v>43525</v>
      </c>
      <c r="N186" s="181">
        <v>43525</v>
      </c>
      <c r="O186" s="10">
        <f>+K186-M186</f>
        <v>0</v>
      </c>
      <c r="P186" s="10">
        <f t="shared" si="13"/>
        <v>0</v>
      </c>
      <c r="Q186" s="10">
        <f>+N186-K186</f>
        <v>0</v>
      </c>
      <c r="R186" s="10">
        <f t="shared" si="14"/>
        <v>-30</v>
      </c>
      <c r="S186" s="2">
        <v>29</v>
      </c>
      <c r="T186" s="8">
        <f t="shared" si="15"/>
        <v>0</v>
      </c>
      <c r="U186" s="8">
        <f t="shared" si="16"/>
        <v>-1608.9</v>
      </c>
      <c r="V186" s="116">
        <f t="shared" si="17"/>
        <v>129</v>
      </c>
    </row>
    <row r="187" spans="1:22" ht="15">
      <c r="A187" s="180" t="s">
        <v>448</v>
      </c>
      <c r="B187" s="181">
        <v>43466</v>
      </c>
      <c r="C187" s="180" t="s">
        <v>449</v>
      </c>
      <c r="D187" s="182">
        <v>196.72</v>
      </c>
      <c r="F187" s="180"/>
      <c r="K187" s="181">
        <v>43466</v>
      </c>
      <c r="M187" s="183">
        <f t="shared" si="12"/>
        <v>43467</v>
      </c>
      <c r="N187" s="181">
        <v>43467</v>
      </c>
      <c r="O187" s="10">
        <f>+K187-M187</f>
        <v>-1</v>
      </c>
      <c r="P187" s="10">
        <f t="shared" si="13"/>
        <v>0</v>
      </c>
      <c r="Q187" s="10">
        <f>+N187-K187</f>
        <v>1</v>
      </c>
      <c r="R187" s="10">
        <f t="shared" si="14"/>
        <v>-29</v>
      </c>
      <c r="S187" s="2">
        <v>29</v>
      </c>
      <c r="T187" s="8">
        <f t="shared" si="15"/>
        <v>0</v>
      </c>
      <c r="U187" s="8">
        <f t="shared" si="16"/>
        <v>-5704.88</v>
      </c>
      <c r="V187" s="116">
        <f t="shared" si="17"/>
        <v>129</v>
      </c>
    </row>
    <row r="188" spans="1:22" ht="15">
      <c r="A188" s="180" t="s">
        <v>450</v>
      </c>
      <c r="B188" s="181">
        <v>43497</v>
      </c>
      <c r="C188" s="180" t="s">
        <v>451</v>
      </c>
      <c r="D188" s="182">
        <v>123.89</v>
      </c>
      <c r="F188" s="180"/>
      <c r="K188" s="181">
        <v>43497</v>
      </c>
      <c r="M188" s="183">
        <f t="shared" si="12"/>
        <v>43497</v>
      </c>
      <c r="N188" s="181">
        <v>43497</v>
      </c>
      <c r="O188" s="10">
        <f>+K188-M188</f>
        <v>0</v>
      </c>
      <c r="P188" s="10">
        <f t="shared" si="13"/>
        <v>0</v>
      </c>
      <c r="Q188" s="10">
        <f>+N188-K188</f>
        <v>0</v>
      </c>
      <c r="R188" s="10">
        <f t="shared" si="14"/>
        <v>-30</v>
      </c>
      <c r="S188" s="2">
        <v>29</v>
      </c>
      <c r="T188" s="8">
        <f t="shared" si="15"/>
        <v>0</v>
      </c>
      <c r="U188" s="8">
        <f t="shared" si="16"/>
        <v>-3716.7</v>
      </c>
      <c r="V188" s="116">
        <f t="shared" si="17"/>
        <v>129</v>
      </c>
    </row>
    <row r="189" spans="1:22" ht="15">
      <c r="A189" s="180" t="s">
        <v>452</v>
      </c>
      <c r="B189" s="181">
        <v>43519</v>
      </c>
      <c r="C189" s="180" t="s">
        <v>453</v>
      </c>
      <c r="D189" s="182">
        <v>64.46</v>
      </c>
      <c r="F189" s="180"/>
      <c r="K189" s="181">
        <v>43519</v>
      </c>
      <c r="M189" s="183">
        <f t="shared" si="12"/>
        <v>43523</v>
      </c>
      <c r="N189" s="181">
        <v>43523</v>
      </c>
      <c r="O189" s="10">
        <f>+K189-M189</f>
        <v>-4</v>
      </c>
      <c r="P189" s="10">
        <f t="shared" si="13"/>
        <v>0</v>
      </c>
      <c r="Q189" s="10">
        <f>+N189-K189</f>
        <v>4</v>
      </c>
      <c r="R189" s="10">
        <f t="shared" si="14"/>
        <v>-26</v>
      </c>
      <c r="S189" s="2">
        <v>29</v>
      </c>
      <c r="T189" s="8">
        <f t="shared" si="15"/>
        <v>0</v>
      </c>
      <c r="U189" s="8">
        <f t="shared" si="16"/>
        <v>-1675.9599999999998</v>
      </c>
      <c r="V189" s="116">
        <f t="shared" si="17"/>
        <v>129</v>
      </c>
    </row>
    <row r="190" spans="1:22" ht="15">
      <c r="A190" s="180" t="s">
        <v>454</v>
      </c>
      <c r="B190" s="181">
        <v>43519</v>
      </c>
      <c r="C190" s="180" t="s">
        <v>455</v>
      </c>
      <c r="D190" s="182">
        <v>62.23</v>
      </c>
      <c r="F190" s="180"/>
      <c r="K190" s="181">
        <v>43519</v>
      </c>
      <c r="M190" s="183">
        <f t="shared" si="12"/>
        <v>43523</v>
      </c>
      <c r="N190" s="181">
        <v>43523</v>
      </c>
      <c r="O190" s="10">
        <f>+K190-M190</f>
        <v>-4</v>
      </c>
      <c r="P190" s="10">
        <f t="shared" si="13"/>
        <v>0</v>
      </c>
      <c r="Q190" s="10">
        <f>+N190-K190</f>
        <v>4</v>
      </c>
      <c r="R190" s="10">
        <f t="shared" si="14"/>
        <v>-26</v>
      </c>
      <c r="S190" s="2">
        <v>29</v>
      </c>
      <c r="T190" s="8">
        <f t="shared" si="15"/>
        <v>0</v>
      </c>
      <c r="U190" s="8">
        <f t="shared" si="16"/>
        <v>-1617.98</v>
      </c>
      <c r="V190" s="116">
        <f t="shared" si="17"/>
        <v>129</v>
      </c>
    </row>
    <row r="191" spans="1:22" ht="15">
      <c r="A191" s="180" t="s">
        <v>456</v>
      </c>
      <c r="B191" s="181">
        <v>43519</v>
      </c>
      <c r="C191" s="180" t="s">
        <v>457</v>
      </c>
      <c r="D191" s="182">
        <v>515.95</v>
      </c>
      <c r="F191" s="180"/>
      <c r="K191" s="181">
        <v>43519</v>
      </c>
      <c r="M191" s="183">
        <f t="shared" si="12"/>
        <v>43523</v>
      </c>
      <c r="N191" s="181">
        <v>43523</v>
      </c>
      <c r="O191" s="10">
        <f>+K191-M191</f>
        <v>-4</v>
      </c>
      <c r="P191" s="10">
        <f t="shared" si="13"/>
        <v>0</v>
      </c>
      <c r="Q191" s="10">
        <f>+N191-K191</f>
        <v>4</v>
      </c>
      <c r="R191" s="10">
        <f t="shared" si="14"/>
        <v>-26</v>
      </c>
      <c r="S191" s="2">
        <v>29</v>
      </c>
      <c r="T191" s="8">
        <f t="shared" si="15"/>
        <v>0</v>
      </c>
      <c r="U191" s="8">
        <f t="shared" si="16"/>
        <v>-13414.7</v>
      </c>
      <c r="V191" s="116">
        <f t="shared" si="17"/>
        <v>129</v>
      </c>
    </row>
    <row r="192" spans="1:22" ht="15">
      <c r="A192" s="180" t="s">
        <v>458</v>
      </c>
      <c r="B192" s="181">
        <v>43488</v>
      </c>
      <c r="C192" s="180" t="s">
        <v>459</v>
      </c>
      <c r="D192" s="182">
        <v>456.54</v>
      </c>
      <c r="F192" s="180"/>
      <c r="K192" s="181">
        <v>43488</v>
      </c>
      <c r="M192" s="183">
        <f t="shared" si="12"/>
        <v>43495</v>
      </c>
      <c r="N192" s="181">
        <v>43495</v>
      </c>
      <c r="O192" s="10">
        <f>+K192-M192</f>
        <v>-7</v>
      </c>
      <c r="P192" s="10">
        <f t="shared" si="13"/>
        <v>0</v>
      </c>
      <c r="Q192" s="10">
        <f>+N192-K192</f>
        <v>7</v>
      </c>
      <c r="R192" s="10">
        <f t="shared" si="14"/>
        <v>-23</v>
      </c>
      <c r="S192" s="2">
        <v>29</v>
      </c>
      <c r="T192" s="8">
        <f t="shared" si="15"/>
        <v>0</v>
      </c>
      <c r="U192" s="8">
        <f t="shared" si="16"/>
        <v>-10500.42</v>
      </c>
      <c r="V192" s="116">
        <f t="shared" si="17"/>
        <v>129</v>
      </c>
    </row>
    <row r="193" spans="1:22" ht="15">
      <c r="A193" s="180" t="s">
        <v>460</v>
      </c>
      <c r="B193" s="181">
        <v>43488</v>
      </c>
      <c r="C193" s="180" t="s">
        <v>461</v>
      </c>
      <c r="D193" s="182">
        <v>805.27</v>
      </c>
      <c r="F193" s="180"/>
      <c r="K193" s="181">
        <v>43488</v>
      </c>
      <c r="M193" s="183">
        <f t="shared" si="12"/>
        <v>43495</v>
      </c>
      <c r="N193" s="181">
        <v>43495</v>
      </c>
      <c r="O193" s="10">
        <f>+K193-M193</f>
        <v>-7</v>
      </c>
      <c r="P193" s="10">
        <f t="shared" si="13"/>
        <v>0</v>
      </c>
      <c r="Q193" s="10">
        <f>+N193-K193</f>
        <v>7</v>
      </c>
      <c r="R193" s="10">
        <f t="shared" si="14"/>
        <v>-23</v>
      </c>
      <c r="S193" s="2">
        <v>29</v>
      </c>
      <c r="T193" s="8">
        <f t="shared" si="15"/>
        <v>0</v>
      </c>
      <c r="U193" s="8">
        <f t="shared" si="16"/>
        <v>-18521.21</v>
      </c>
      <c r="V193" s="116">
        <f t="shared" si="17"/>
        <v>129</v>
      </c>
    </row>
    <row r="194" spans="1:22" ht="15">
      <c r="A194" s="180" t="s">
        <v>462</v>
      </c>
      <c r="B194" s="181">
        <v>43488</v>
      </c>
      <c r="C194" s="180" t="s">
        <v>463</v>
      </c>
      <c r="D194" s="182">
        <v>72.65</v>
      </c>
      <c r="F194" s="180"/>
      <c r="K194" s="181">
        <v>43488</v>
      </c>
      <c r="M194" s="183">
        <f t="shared" si="12"/>
        <v>43495</v>
      </c>
      <c r="N194" s="181">
        <v>43495</v>
      </c>
      <c r="O194" s="10">
        <f>+K194-M194</f>
        <v>-7</v>
      </c>
      <c r="P194" s="10">
        <f t="shared" si="13"/>
        <v>0</v>
      </c>
      <c r="Q194" s="10">
        <f>+N194-K194</f>
        <v>7</v>
      </c>
      <c r="R194" s="10">
        <f t="shared" si="14"/>
        <v>-23</v>
      </c>
      <c r="S194" s="2">
        <v>29</v>
      </c>
      <c r="T194" s="8">
        <f t="shared" si="15"/>
        <v>0</v>
      </c>
      <c r="U194" s="8">
        <f t="shared" si="16"/>
        <v>-1670.95</v>
      </c>
      <c r="V194" s="116">
        <f t="shared" si="17"/>
        <v>129</v>
      </c>
    </row>
    <row r="195" spans="1:22" ht="15">
      <c r="A195" s="180" t="s">
        <v>464</v>
      </c>
      <c r="B195" s="181">
        <v>43488</v>
      </c>
      <c r="C195" s="180" t="s">
        <v>465</v>
      </c>
      <c r="D195" s="182">
        <v>75.07</v>
      </c>
      <c r="F195" s="180"/>
      <c r="K195" s="181">
        <v>43488</v>
      </c>
      <c r="M195" s="183">
        <f t="shared" si="12"/>
        <v>43495</v>
      </c>
      <c r="N195" s="181">
        <v>43495</v>
      </c>
      <c r="O195" s="10">
        <f>+K195-M195</f>
        <v>-7</v>
      </c>
      <c r="P195" s="10">
        <f t="shared" si="13"/>
        <v>0</v>
      </c>
      <c r="Q195" s="10">
        <f>+N195-K195</f>
        <v>7</v>
      </c>
      <c r="R195" s="10">
        <f t="shared" si="14"/>
        <v>-23</v>
      </c>
      <c r="S195" s="2">
        <v>29</v>
      </c>
      <c r="T195" s="8">
        <f t="shared" si="15"/>
        <v>0</v>
      </c>
      <c r="U195" s="8">
        <f t="shared" si="16"/>
        <v>-1726.61</v>
      </c>
      <c r="V195" s="116">
        <f t="shared" si="17"/>
        <v>129</v>
      </c>
    </row>
    <row r="196" spans="1:22" ht="15">
      <c r="A196" s="180" t="s">
        <v>466</v>
      </c>
      <c r="B196" s="181">
        <v>43519</v>
      </c>
      <c r="C196" s="180" t="s">
        <v>467</v>
      </c>
      <c r="D196" s="182">
        <v>1191.79</v>
      </c>
      <c r="F196" s="180"/>
      <c r="K196" s="181">
        <v>43519</v>
      </c>
      <c r="M196" s="183">
        <f t="shared" si="12"/>
        <v>43523</v>
      </c>
      <c r="N196" s="181">
        <v>43523</v>
      </c>
      <c r="O196" s="10">
        <f>+K196-M196</f>
        <v>-4</v>
      </c>
      <c r="P196" s="10">
        <f t="shared" si="13"/>
        <v>0</v>
      </c>
      <c r="Q196" s="10">
        <f>+N196-K196</f>
        <v>4</v>
      </c>
      <c r="R196" s="10">
        <f t="shared" si="14"/>
        <v>-26</v>
      </c>
      <c r="S196" s="2">
        <v>29</v>
      </c>
      <c r="T196" s="8">
        <f t="shared" si="15"/>
        <v>0</v>
      </c>
      <c r="U196" s="8">
        <f t="shared" si="16"/>
        <v>-30986.54</v>
      </c>
      <c r="V196" s="116">
        <f t="shared" si="17"/>
        <v>129</v>
      </c>
    </row>
    <row r="197" spans="1:22" ht="15">
      <c r="A197" s="180" t="s">
        <v>468</v>
      </c>
      <c r="B197" s="181">
        <v>43519</v>
      </c>
      <c r="C197" s="180" t="s">
        <v>469</v>
      </c>
      <c r="D197" s="182">
        <v>543.59</v>
      </c>
      <c r="F197" s="180"/>
      <c r="K197" s="181">
        <v>43519</v>
      </c>
      <c r="M197" s="183">
        <f t="shared" si="12"/>
        <v>43523</v>
      </c>
      <c r="N197" s="181">
        <v>43523</v>
      </c>
      <c r="O197" s="10">
        <f>+K197-M197</f>
        <v>-4</v>
      </c>
      <c r="P197" s="10">
        <f t="shared" si="13"/>
        <v>0</v>
      </c>
      <c r="Q197" s="10">
        <f>+N197-K197</f>
        <v>4</v>
      </c>
      <c r="R197" s="10">
        <f t="shared" si="14"/>
        <v>-26</v>
      </c>
      <c r="S197" s="2">
        <v>29</v>
      </c>
      <c r="T197" s="8">
        <f t="shared" si="15"/>
        <v>0</v>
      </c>
      <c r="U197" s="8">
        <f t="shared" si="16"/>
        <v>-14133.34</v>
      </c>
      <c r="V197" s="116">
        <f t="shared" si="17"/>
        <v>129</v>
      </c>
    </row>
    <row r="198" spans="1:22" ht="15">
      <c r="A198" s="180" t="s">
        <v>470</v>
      </c>
      <c r="B198" s="181">
        <v>43547</v>
      </c>
      <c r="C198" s="180" t="s">
        <v>471</v>
      </c>
      <c r="D198" s="182">
        <v>1490.11</v>
      </c>
      <c r="F198" s="180"/>
      <c r="K198" s="181">
        <v>43547</v>
      </c>
      <c r="M198" s="183">
        <f t="shared" si="12"/>
        <v>43552</v>
      </c>
      <c r="N198" s="181">
        <v>43552</v>
      </c>
      <c r="O198" s="10">
        <f>+K198-M198</f>
        <v>-5</v>
      </c>
      <c r="P198" s="10">
        <f t="shared" si="13"/>
        <v>0</v>
      </c>
      <c r="Q198" s="10">
        <f>+N198-K198</f>
        <v>5</v>
      </c>
      <c r="R198" s="10">
        <f t="shared" si="14"/>
        <v>-25</v>
      </c>
      <c r="S198" s="2">
        <v>29</v>
      </c>
      <c r="T198" s="8">
        <f t="shared" si="15"/>
        <v>0</v>
      </c>
      <c r="U198" s="8">
        <f t="shared" si="16"/>
        <v>-37252.75</v>
      </c>
      <c r="V198" s="116">
        <f t="shared" si="17"/>
        <v>129</v>
      </c>
    </row>
    <row r="199" spans="1:22" ht="15">
      <c r="A199" s="180" t="s">
        <v>472</v>
      </c>
      <c r="B199" s="181">
        <v>43547</v>
      </c>
      <c r="C199" s="180" t="s">
        <v>473</v>
      </c>
      <c r="D199" s="182">
        <v>275.15</v>
      </c>
      <c r="F199" s="180"/>
      <c r="K199" s="181">
        <v>43547</v>
      </c>
      <c r="M199" s="183">
        <f aca="true" t="shared" si="18" ref="M199:M209">+N199</f>
        <v>43552</v>
      </c>
      <c r="N199" s="181">
        <v>43552</v>
      </c>
      <c r="O199" s="10">
        <f>+K199-M199</f>
        <v>-5</v>
      </c>
      <c r="P199" s="10">
        <f aca="true" t="shared" si="19" ref="P199:P209">+N199-M199</f>
        <v>0</v>
      </c>
      <c r="Q199" s="10">
        <f>+N199-K199</f>
        <v>5</v>
      </c>
      <c r="R199" s="10">
        <f aca="true" t="shared" si="20" ref="R199:R209">+Q199-30</f>
        <v>-25</v>
      </c>
      <c r="S199" s="2">
        <v>29</v>
      </c>
      <c r="T199" s="8">
        <f aca="true" t="shared" si="21" ref="T199:T209">+P199*D199</f>
        <v>0</v>
      </c>
      <c r="U199" s="8">
        <f aca="true" t="shared" si="22" ref="U199:U209">+R199*D199</f>
        <v>-6878.749999999999</v>
      </c>
      <c r="V199" s="116">
        <f aca="true" t="shared" si="23" ref="V199:V209">IF(P199&gt;30,200+S199,100+S199)</f>
        <v>129</v>
      </c>
    </row>
    <row r="200" spans="1:22" ht="15">
      <c r="A200" s="180" t="s">
        <v>474</v>
      </c>
      <c r="B200" s="181">
        <v>43488</v>
      </c>
      <c r="C200" s="180" t="s">
        <v>475</v>
      </c>
      <c r="D200" s="182">
        <v>603.13</v>
      </c>
      <c r="F200" s="180"/>
      <c r="K200" s="181">
        <v>43488</v>
      </c>
      <c r="M200" s="183">
        <f t="shared" si="18"/>
        <v>43495</v>
      </c>
      <c r="N200" s="181">
        <v>43495</v>
      </c>
      <c r="O200" s="10">
        <f>+K200-M200</f>
        <v>-7</v>
      </c>
      <c r="P200" s="10">
        <f t="shared" si="19"/>
        <v>0</v>
      </c>
      <c r="Q200" s="10">
        <f>+N200-K200</f>
        <v>7</v>
      </c>
      <c r="R200" s="10">
        <f t="shared" si="20"/>
        <v>-23</v>
      </c>
      <c r="S200" s="2">
        <v>29</v>
      </c>
      <c r="T200" s="8">
        <f t="shared" si="21"/>
        <v>0</v>
      </c>
      <c r="U200" s="8">
        <f t="shared" si="22"/>
        <v>-13871.99</v>
      </c>
      <c r="V200" s="116">
        <f t="shared" si="23"/>
        <v>129</v>
      </c>
    </row>
    <row r="201" spans="1:22" ht="15">
      <c r="A201" s="180" t="s">
        <v>476</v>
      </c>
      <c r="B201" s="181">
        <v>43476</v>
      </c>
      <c r="C201" s="180" t="s">
        <v>477</v>
      </c>
      <c r="D201" s="182">
        <v>2377.7</v>
      </c>
      <c r="F201" s="180"/>
      <c r="K201" s="181">
        <v>43476</v>
      </c>
      <c r="M201" s="183">
        <f t="shared" si="18"/>
        <v>43481</v>
      </c>
      <c r="N201" s="181">
        <v>43481</v>
      </c>
      <c r="O201" s="10">
        <f>+K201-M201</f>
        <v>-5</v>
      </c>
      <c r="P201" s="10">
        <f t="shared" si="19"/>
        <v>0</v>
      </c>
      <c r="Q201" s="10">
        <f>+N201-K201</f>
        <v>5</v>
      </c>
      <c r="R201" s="10">
        <f t="shared" si="20"/>
        <v>-25</v>
      </c>
      <c r="S201" s="2">
        <v>29</v>
      </c>
      <c r="T201" s="8">
        <f t="shared" si="21"/>
        <v>0</v>
      </c>
      <c r="U201" s="8">
        <f t="shared" si="22"/>
        <v>-59442.49999999999</v>
      </c>
      <c r="V201" s="116">
        <f t="shared" si="23"/>
        <v>129</v>
      </c>
    </row>
    <row r="202" spans="1:22" ht="15">
      <c r="A202" s="180" t="s">
        <v>478</v>
      </c>
      <c r="B202" s="181">
        <v>43524</v>
      </c>
      <c r="C202" s="180" t="s">
        <v>479</v>
      </c>
      <c r="D202" s="182">
        <v>52.7</v>
      </c>
      <c r="F202" s="180"/>
      <c r="K202" s="181">
        <v>43524</v>
      </c>
      <c r="M202" s="183">
        <f t="shared" si="18"/>
        <v>43522</v>
      </c>
      <c r="N202" s="181">
        <v>43522</v>
      </c>
      <c r="O202" s="10">
        <f>+K202-M202</f>
        <v>2</v>
      </c>
      <c r="P202" s="10">
        <f t="shared" si="19"/>
        <v>0</v>
      </c>
      <c r="Q202" s="10">
        <f>+N202-K202</f>
        <v>-2</v>
      </c>
      <c r="R202" s="10">
        <f t="shared" si="20"/>
        <v>-32</v>
      </c>
      <c r="S202" s="2">
        <v>21</v>
      </c>
      <c r="T202" s="8">
        <f t="shared" si="21"/>
        <v>0</v>
      </c>
      <c r="U202" s="8">
        <f t="shared" si="22"/>
        <v>-1686.4</v>
      </c>
      <c r="V202" s="116">
        <f t="shared" si="23"/>
        <v>121</v>
      </c>
    </row>
    <row r="203" spans="1:22" ht="15">
      <c r="A203" s="180" t="s">
        <v>480</v>
      </c>
      <c r="B203" s="181">
        <v>43550</v>
      </c>
      <c r="C203" s="180" t="s">
        <v>481</v>
      </c>
      <c r="D203" s="182">
        <v>133.1</v>
      </c>
      <c r="F203" s="180"/>
      <c r="K203" s="181">
        <v>43550</v>
      </c>
      <c r="M203" s="183">
        <f t="shared" si="18"/>
        <v>43611</v>
      </c>
      <c r="N203" s="181">
        <v>43611</v>
      </c>
      <c r="O203" s="10">
        <f>+K203-M203</f>
        <v>-61</v>
      </c>
      <c r="P203" s="10">
        <f t="shared" si="19"/>
        <v>0</v>
      </c>
      <c r="Q203" s="10">
        <f>+N203-K203</f>
        <v>61</v>
      </c>
      <c r="R203" s="10">
        <f t="shared" si="20"/>
        <v>31</v>
      </c>
      <c r="S203" s="2">
        <v>21</v>
      </c>
      <c r="T203" s="8">
        <f t="shared" si="21"/>
        <v>0</v>
      </c>
      <c r="U203" s="8">
        <f t="shared" si="22"/>
        <v>4126.099999999999</v>
      </c>
      <c r="V203" s="116">
        <f t="shared" si="23"/>
        <v>121</v>
      </c>
    </row>
    <row r="204" spans="1:22" ht="15">
      <c r="A204" s="180" t="s">
        <v>482</v>
      </c>
      <c r="B204" s="181">
        <v>43466</v>
      </c>
      <c r="C204" s="180" t="s">
        <v>483</v>
      </c>
      <c r="D204" s="182">
        <v>94.45</v>
      </c>
      <c r="F204" s="180"/>
      <c r="K204" s="181">
        <v>43466</v>
      </c>
      <c r="M204" s="183">
        <f t="shared" si="18"/>
        <v>43496</v>
      </c>
      <c r="N204" s="181">
        <v>43496</v>
      </c>
      <c r="O204" s="10">
        <f>+K204-M204</f>
        <v>-30</v>
      </c>
      <c r="P204" s="10">
        <f t="shared" si="19"/>
        <v>0</v>
      </c>
      <c r="Q204" s="10">
        <f>+N204-K204</f>
        <v>30</v>
      </c>
      <c r="R204" s="10">
        <f t="shared" si="20"/>
        <v>0</v>
      </c>
      <c r="S204" s="2">
        <v>29</v>
      </c>
      <c r="T204" s="8">
        <f t="shared" si="21"/>
        <v>0</v>
      </c>
      <c r="U204" s="8">
        <f t="shared" si="22"/>
        <v>0</v>
      </c>
      <c r="V204" s="116">
        <f t="shared" si="23"/>
        <v>129</v>
      </c>
    </row>
    <row r="205" spans="1:22" ht="15">
      <c r="A205" s="180" t="s">
        <v>484</v>
      </c>
      <c r="B205" s="181">
        <v>43503</v>
      </c>
      <c r="C205" s="180" t="s">
        <v>485</v>
      </c>
      <c r="D205" s="182">
        <v>30</v>
      </c>
      <c r="F205" s="180"/>
      <c r="K205" s="181">
        <v>43503</v>
      </c>
      <c r="M205" s="183">
        <f t="shared" si="18"/>
        <v>43501</v>
      </c>
      <c r="N205" s="181">
        <v>43501</v>
      </c>
      <c r="O205" s="10">
        <f>+K205-M205</f>
        <v>2</v>
      </c>
      <c r="P205" s="10">
        <f t="shared" si="19"/>
        <v>0</v>
      </c>
      <c r="Q205" s="10">
        <f>+N205-K205</f>
        <v>-2</v>
      </c>
      <c r="R205" s="10">
        <f t="shared" si="20"/>
        <v>-32</v>
      </c>
      <c r="S205" s="2">
        <v>29</v>
      </c>
      <c r="T205" s="8">
        <f t="shared" si="21"/>
        <v>0</v>
      </c>
      <c r="U205" s="8">
        <f t="shared" si="22"/>
        <v>-960</v>
      </c>
      <c r="V205" s="116">
        <f t="shared" si="23"/>
        <v>129</v>
      </c>
    </row>
    <row r="206" spans="1:22" ht="15">
      <c r="A206" s="180" t="s">
        <v>486</v>
      </c>
      <c r="B206" s="181">
        <v>43503</v>
      </c>
      <c r="C206" s="180" t="s">
        <v>487</v>
      </c>
      <c r="D206" s="182">
        <v>30</v>
      </c>
      <c r="F206" s="180"/>
      <c r="K206" s="181">
        <v>43503</v>
      </c>
      <c r="M206" s="183">
        <f t="shared" si="18"/>
        <v>43501</v>
      </c>
      <c r="N206" s="181">
        <v>43501</v>
      </c>
      <c r="O206" s="10">
        <f>+K206-M206</f>
        <v>2</v>
      </c>
      <c r="P206" s="10">
        <f t="shared" si="19"/>
        <v>0</v>
      </c>
      <c r="Q206" s="10">
        <f>+N206-K206</f>
        <v>-2</v>
      </c>
      <c r="R206" s="10">
        <f t="shared" si="20"/>
        <v>-32</v>
      </c>
      <c r="S206" s="2">
        <v>29</v>
      </c>
      <c r="T206" s="8">
        <f t="shared" si="21"/>
        <v>0</v>
      </c>
      <c r="U206" s="8">
        <f t="shared" si="22"/>
        <v>-960</v>
      </c>
      <c r="V206" s="116">
        <f t="shared" si="23"/>
        <v>129</v>
      </c>
    </row>
    <row r="207" spans="1:22" ht="15">
      <c r="A207" s="180" t="s">
        <v>488</v>
      </c>
      <c r="B207" s="181">
        <v>43466</v>
      </c>
      <c r="C207" s="180" t="s">
        <v>489</v>
      </c>
      <c r="D207" s="182">
        <v>6.98</v>
      </c>
      <c r="F207" s="180"/>
      <c r="K207" s="181">
        <v>43466</v>
      </c>
      <c r="M207" s="183">
        <f t="shared" si="18"/>
        <v>43495</v>
      </c>
      <c r="N207" s="181">
        <v>43495</v>
      </c>
      <c r="O207" s="10">
        <f>+K207-M207</f>
        <v>-29</v>
      </c>
      <c r="P207" s="10">
        <f t="shared" si="19"/>
        <v>0</v>
      </c>
      <c r="Q207" s="10">
        <f>+N207-K207</f>
        <v>29</v>
      </c>
      <c r="R207" s="10">
        <f t="shared" si="20"/>
        <v>-1</v>
      </c>
      <c r="S207" s="2">
        <v>29</v>
      </c>
      <c r="T207" s="8">
        <f t="shared" si="21"/>
        <v>0</v>
      </c>
      <c r="U207" s="8">
        <f t="shared" si="22"/>
        <v>-6.98</v>
      </c>
      <c r="V207" s="116">
        <f t="shared" si="23"/>
        <v>129</v>
      </c>
    </row>
    <row r="208" spans="1:22" ht="15">
      <c r="A208" s="180" t="s">
        <v>490</v>
      </c>
      <c r="B208" s="181">
        <v>43496</v>
      </c>
      <c r="C208" s="180" t="s">
        <v>491</v>
      </c>
      <c r="D208" s="182">
        <v>77</v>
      </c>
      <c r="F208" s="180"/>
      <c r="K208" s="181">
        <v>43496</v>
      </c>
      <c r="M208" s="183">
        <f t="shared" si="18"/>
        <v>43500</v>
      </c>
      <c r="N208" s="181">
        <v>43500</v>
      </c>
      <c r="O208" s="10">
        <f>+K208-M208</f>
        <v>-4</v>
      </c>
      <c r="P208" s="10">
        <f t="shared" si="19"/>
        <v>0</v>
      </c>
      <c r="Q208" s="10">
        <f>+N208-K208</f>
        <v>4</v>
      </c>
      <c r="R208" s="10">
        <f t="shared" si="20"/>
        <v>-26</v>
      </c>
      <c r="S208" s="2">
        <v>29</v>
      </c>
      <c r="T208" s="8">
        <f t="shared" si="21"/>
        <v>0</v>
      </c>
      <c r="U208" s="8">
        <f t="shared" si="22"/>
        <v>-2002</v>
      </c>
      <c r="V208" s="116">
        <f t="shared" si="23"/>
        <v>129</v>
      </c>
    </row>
    <row r="209" spans="1:22" ht="15">
      <c r="A209" s="180" t="s">
        <v>492</v>
      </c>
      <c r="B209" s="181">
        <v>43522</v>
      </c>
      <c r="C209" s="180" t="s">
        <v>493</v>
      </c>
      <c r="D209" s="182">
        <v>402.33</v>
      </c>
      <c r="F209" s="180"/>
      <c r="K209" s="181">
        <v>43522</v>
      </c>
      <c r="M209" s="183">
        <f t="shared" si="18"/>
        <v>43552</v>
      </c>
      <c r="N209" s="181">
        <v>43552</v>
      </c>
      <c r="O209" s="10">
        <f>+K209-M209</f>
        <v>-30</v>
      </c>
      <c r="P209" s="10">
        <f t="shared" si="19"/>
        <v>0</v>
      </c>
      <c r="Q209" s="10">
        <f>+N209-K209</f>
        <v>30</v>
      </c>
      <c r="R209" s="10">
        <f t="shared" si="20"/>
        <v>0</v>
      </c>
      <c r="S209" s="2">
        <v>29</v>
      </c>
      <c r="T209" s="8">
        <f t="shared" si="21"/>
        <v>0</v>
      </c>
      <c r="U209" s="8">
        <f t="shared" si="22"/>
        <v>0</v>
      </c>
      <c r="V209" s="116">
        <f t="shared" si="23"/>
        <v>129</v>
      </c>
    </row>
  </sheetData>
  <sheetProtection selectLockedCells="1" selectUnlockedCells="1"/>
  <mergeCells count="1">
    <mergeCell ref="M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I1">
      <pane ySplit="7" topLeftCell="A8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9.140625" style="2" customWidth="1"/>
    <col min="2" max="2" width="9.140625" style="15" customWidth="1"/>
    <col min="3" max="3" width="9.14062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5.421875" style="15" bestFit="1" customWidth="1"/>
    <col min="12" max="12" width="9.28125" style="15" bestFit="1" customWidth="1"/>
    <col min="13" max="13" width="27.140625" style="15" customWidth="1"/>
    <col min="14" max="14" width="10.7109375" style="15" bestFit="1" customWidth="1"/>
    <col min="15" max="16" width="9.28125" style="10" bestFit="1" customWidth="1"/>
    <col min="17" max="17" width="10.00390625" style="10" bestFit="1" customWidth="1"/>
    <col min="18" max="18" width="8.7109375" style="10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663</v>
      </c>
      <c r="B1" s="17"/>
      <c r="C1" s="4"/>
      <c r="D1" s="7"/>
      <c r="E1" s="4"/>
      <c r="F1" s="4"/>
      <c r="G1" s="4"/>
      <c r="H1" s="4"/>
      <c r="I1" s="4"/>
      <c r="J1" s="4"/>
      <c r="O1" s="113"/>
      <c r="P1" s="113" t="s">
        <v>89</v>
      </c>
      <c r="Q1" s="117">
        <v>43555</v>
      </c>
    </row>
    <row r="2" spans="1:10" ht="11.25">
      <c r="A2" s="3"/>
      <c r="B2" s="17"/>
      <c r="C2" s="4"/>
      <c r="D2" s="7"/>
      <c r="E2" s="4"/>
      <c r="F2" s="4"/>
      <c r="G2" s="4"/>
      <c r="H2" s="4"/>
      <c r="I2" s="4"/>
      <c r="J2" s="4"/>
    </row>
    <row r="3" spans="1:10" ht="11.25">
      <c r="A3" s="3"/>
      <c r="B3" s="17"/>
      <c r="C3" s="4"/>
      <c r="D3" s="7"/>
      <c r="E3" s="4"/>
      <c r="F3" s="4"/>
      <c r="G3" s="4"/>
      <c r="H3" s="4"/>
      <c r="I3" s="4"/>
      <c r="J3" s="4"/>
    </row>
    <row r="4" spans="1:10" ht="11.25">
      <c r="A4" s="3"/>
      <c r="B4" s="17"/>
      <c r="C4" s="4"/>
      <c r="D4" s="7"/>
      <c r="E4" s="4"/>
      <c r="F4" s="4"/>
      <c r="G4" s="4"/>
      <c r="H4" s="4"/>
      <c r="I4" s="4"/>
      <c r="J4" s="4"/>
    </row>
    <row r="5" spans="1:10" ht="11.25">
      <c r="A5" s="3"/>
      <c r="B5" s="17"/>
      <c r="C5" s="4"/>
      <c r="D5" s="7"/>
      <c r="E5" s="4"/>
      <c r="F5" s="4"/>
      <c r="G5" s="4"/>
      <c r="H5" s="4"/>
      <c r="I5" s="4"/>
      <c r="J5" s="4"/>
    </row>
    <row r="7" spans="1:22" ht="38.25" customHeight="1">
      <c r="A7" s="5" t="s">
        <v>70</v>
      </c>
      <c r="B7" s="18" t="s">
        <v>71</v>
      </c>
      <c r="C7" s="6" t="s">
        <v>72</v>
      </c>
      <c r="D7" s="9" t="s">
        <v>57</v>
      </c>
      <c r="E7" s="5" t="s">
        <v>73</v>
      </c>
      <c r="F7" s="6" t="s">
        <v>74</v>
      </c>
      <c r="G7" s="6" t="s">
        <v>75</v>
      </c>
      <c r="H7" s="6" t="s">
        <v>8</v>
      </c>
      <c r="I7" s="6" t="s">
        <v>9</v>
      </c>
      <c r="J7" s="6" t="s">
        <v>7</v>
      </c>
      <c r="K7" s="16" t="s">
        <v>76</v>
      </c>
      <c r="L7" s="16" t="s">
        <v>77</v>
      </c>
      <c r="M7" s="16" t="s">
        <v>78</v>
      </c>
      <c r="N7" s="16" t="s">
        <v>79</v>
      </c>
      <c r="O7" s="11" t="s">
        <v>80</v>
      </c>
      <c r="P7" s="12" t="s">
        <v>87</v>
      </c>
      <c r="Q7" s="13" t="s">
        <v>88</v>
      </c>
      <c r="R7" s="14" t="s">
        <v>56</v>
      </c>
      <c r="S7" s="2" t="s">
        <v>83</v>
      </c>
      <c r="T7" s="8" t="s">
        <v>84</v>
      </c>
      <c r="U7" s="8" t="s">
        <v>85</v>
      </c>
      <c r="V7" s="2" t="s">
        <v>86</v>
      </c>
    </row>
    <row r="8" spans="1:22" ht="15">
      <c r="A8" s="180" t="s">
        <v>494</v>
      </c>
      <c r="B8" s="181">
        <v>43555</v>
      </c>
      <c r="C8" s="180" t="s">
        <v>283</v>
      </c>
      <c r="D8" s="182">
        <v>3888</v>
      </c>
      <c r="F8" s="180"/>
      <c r="K8" s="181">
        <v>43555</v>
      </c>
      <c r="M8" s="183">
        <f aca="true" t="shared" si="0" ref="M8:M40">+N8</f>
        <v>43556</v>
      </c>
      <c r="N8" s="181">
        <v>43556</v>
      </c>
      <c r="O8" s="10">
        <f aca="true" t="shared" si="1" ref="O8:O17">+K8-M8</f>
        <v>-1</v>
      </c>
      <c r="P8" s="10">
        <f aca="true" t="shared" si="2" ref="P8:P17">+N8-M8</f>
        <v>0</v>
      </c>
      <c r="Q8" s="10">
        <f aca="true" t="shared" si="3" ref="Q8:Q17">+N8-K8</f>
        <v>1</v>
      </c>
      <c r="R8" s="10">
        <f aca="true" t="shared" si="4" ref="R8:R40">+Q8-30</f>
        <v>-29</v>
      </c>
      <c r="S8" s="2">
        <v>29</v>
      </c>
      <c r="T8" s="8">
        <f aca="true" t="shared" si="5" ref="T8:T18">+P8*D8</f>
        <v>0</v>
      </c>
      <c r="U8" s="8">
        <f aca="true" t="shared" si="6" ref="U8:U18">+R8*D8</f>
        <v>-112752</v>
      </c>
      <c r="V8" s="116">
        <f aca="true" t="shared" si="7" ref="V8:V18">IF(P8&gt;30,200+S8,100+S8)</f>
        <v>129</v>
      </c>
    </row>
    <row r="9" spans="1:22" ht="15">
      <c r="A9" s="180" t="s">
        <v>495</v>
      </c>
      <c r="B9" s="181">
        <v>43525</v>
      </c>
      <c r="C9" s="180" t="s">
        <v>496</v>
      </c>
      <c r="D9" s="182">
        <v>2230.96</v>
      </c>
      <c r="F9" s="180"/>
      <c r="K9" s="181">
        <v>43546</v>
      </c>
      <c r="M9" s="183">
        <f t="shared" si="0"/>
        <v>43556</v>
      </c>
      <c r="N9" s="181">
        <v>43556</v>
      </c>
      <c r="O9" s="10">
        <f t="shared" si="1"/>
        <v>-10</v>
      </c>
      <c r="P9" s="10">
        <f t="shared" si="2"/>
        <v>0</v>
      </c>
      <c r="Q9" s="10">
        <f t="shared" si="3"/>
        <v>10</v>
      </c>
      <c r="R9" s="10">
        <f t="shared" si="4"/>
        <v>-20</v>
      </c>
      <c r="S9" s="2">
        <v>21</v>
      </c>
      <c r="T9" s="8">
        <f t="shared" si="5"/>
        <v>0</v>
      </c>
      <c r="U9" s="8">
        <f t="shared" si="6"/>
        <v>-44619.2</v>
      </c>
      <c r="V9" s="116">
        <f t="shared" si="7"/>
        <v>121</v>
      </c>
    </row>
    <row r="10" spans="1:22" ht="15">
      <c r="A10" s="180" t="s">
        <v>497</v>
      </c>
      <c r="B10" s="181">
        <v>43524</v>
      </c>
      <c r="C10" s="180" t="s">
        <v>498</v>
      </c>
      <c r="D10" s="182">
        <v>99.35</v>
      </c>
      <c r="F10" s="180"/>
      <c r="K10" s="181">
        <v>43546</v>
      </c>
      <c r="M10" s="183">
        <f t="shared" si="0"/>
        <v>43557</v>
      </c>
      <c r="N10" s="181">
        <v>43557</v>
      </c>
      <c r="O10" s="10">
        <f t="shared" si="1"/>
        <v>-11</v>
      </c>
      <c r="P10" s="10">
        <f t="shared" si="2"/>
        <v>0</v>
      </c>
      <c r="Q10" s="10">
        <f t="shared" si="3"/>
        <v>11</v>
      </c>
      <c r="R10" s="10">
        <f t="shared" si="4"/>
        <v>-19</v>
      </c>
      <c r="S10" s="2">
        <v>29</v>
      </c>
      <c r="T10" s="8">
        <f t="shared" si="5"/>
        <v>0</v>
      </c>
      <c r="U10" s="8">
        <f t="shared" si="6"/>
        <v>-1887.6499999999999</v>
      </c>
      <c r="V10" s="116">
        <f t="shared" si="7"/>
        <v>129</v>
      </c>
    </row>
    <row r="11" spans="1:22" ht="15">
      <c r="A11" s="180" t="s">
        <v>499</v>
      </c>
      <c r="B11" s="181">
        <v>43524</v>
      </c>
      <c r="C11" s="180" t="s">
        <v>500</v>
      </c>
      <c r="D11" s="182">
        <v>127.53</v>
      </c>
      <c r="F11" s="180"/>
      <c r="K11" s="181">
        <v>43546</v>
      </c>
      <c r="M11" s="183">
        <f t="shared" si="0"/>
        <v>43557</v>
      </c>
      <c r="N11" s="181">
        <v>43557</v>
      </c>
      <c r="O11" s="10">
        <f t="shared" si="1"/>
        <v>-11</v>
      </c>
      <c r="P11" s="10">
        <f t="shared" si="2"/>
        <v>0</v>
      </c>
      <c r="Q11" s="10">
        <f t="shared" si="3"/>
        <v>11</v>
      </c>
      <c r="R11" s="10">
        <f t="shared" si="4"/>
        <v>-19</v>
      </c>
      <c r="S11" s="2">
        <v>29</v>
      </c>
      <c r="T11" s="8">
        <f t="shared" si="5"/>
        <v>0</v>
      </c>
      <c r="U11" s="8">
        <f t="shared" si="6"/>
        <v>-2423.07</v>
      </c>
      <c r="V11" s="116">
        <f t="shared" si="7"/>
        <v>129</v>
      </c>
    </row>
    <row r="12" spans="1:22" ht="15">
      <c r="A12" s="180" t="s">
        <v>501</v>
      </c>
      <c r="B12" s="181">
        <v>43524</v>
      </c>
      <c r="C12" s="180" t="s">
        <v>502</v>
      </c>
      <c r="D12" s="182">
        <v>85.49</v>
      </c>
      <c r="F12" s="180"/>
      <c r="K12" s="181">
        <v>43546</v>
      </c>
      <c r="M12" s="183">
        <f t="shared" si="0"/>
        <v>43556</v>
      </c>
      <c r="N12" s="181">
        <v>43556</v>
      </c>
      <c r="O12" s="10">
        <f t="shared" si="1"/>
        <v>-10</v>
      </c>
      <c r="P12" s="10">
        <f t="shared" si="2"/>
        <v>0</v>
      </c>
      <c r="Q12" s="10">
        <f t="shared" si="3"/>
        <v>10</v>
      </c>
      <c r="R12" s="10">
        <f t="shared" si="4"/>
        <v>-20</v>
      </c>
      <c r="S12" s="2">
        <v>29</v>
      </c>
      <c r="T12" s="8">
        <f t="shared" si="5"/>
        <v>0</v>
      </c>
      <c r="U12" s="8">
        <f t="shared" si="6"/>
        <v>-1709.8</v>
      </c>
      <c r="V12" s="116">
        <f t="shared" si="7"/>
        <v>129</v>
      </c>
    </row>
    <row r="13" spans="1:22" ht="15">
      <c r="A13" s="180" t="s">
        <v>503</v>
      </c>
      <c r="B13" s="181">
        <v>43538</v>
      </c>
      <c r="C13" s="180" t="s">
        <v>504</v>
      </c>
      <c r="D13" s="182">
        <v>6647.75</v>
      </c>
      <c r="F13" s="180"/>
      <c r="K13" s="181">
        <v>43549</v>
      </c>
      <c r="M13" s="183">
        <f t="shared" si="0"/>
        <v>43569</v>
      </c>
      <c r="N13" s="181">
        <v>43569</v>
      </c>
      <c r="O13" s="10">
        <f t="shared" si="1"/>
        <v>-20</v>
      </c>
      <c r="P13" s="10">
        <f t="shared" si="2"/>
        <v>0</v>
      </c>
      <c r="Q13" s="10">
        <f t="shared" si="3"/>
        <v>20</v>
      </c>
      <c r="R13" s="10">
        <f t="shared" si="4"/>
        <v>-10</v>
      </c>
      <c r="S13" s="2">
        <v>29</v>
      </c>
      <c r="T13" s="8">
        <f t="shared" si="5"/>
        <v>0</v>
      </c>
      <c r="U13" s="8">
        <f t="shared" si="6"/>
        <v>-66477.5</v>
      </c>
      <c r="V13" s="116">
        <f t="shared" si="7"/>
        <v>129</v>
      </c>
    </row>
    <row r="14" spans="1:22" ht="15">
      <c r="A14" s="180" t="s">
        <v>505</v>
      </c>
      <c r="B14" s="181">
        <v>43524</v>
      </c>
      <c r="C14" s="180" t="s">
        <v>506</v>
      </c>
      <c r="D14" s="182">
        <v>4936.8</v>
      </c>
      <c r="F14" s="180"/>
      <c r="K14" s="181">
        <v>43550</v>
      </c>
      <c r="M14" s="183">
        <f t="shared" si="0"/>
        <v>43570</v>
      </c>
      <c r="N14" s="181">
        <v>43570</v>
      </c>
      <c r="O14" s="10">
        <f t="shared" si="1"/>
        <v>-20</v>
      </c>
      <c r="P14" s="10">
        <f t="shared" si="2"/>
        <v>0</v>
      </c>
      <c r="Q14" s="10">
        <f t="shared" si="3"/>
        <v>20</v>
      </c>
      <c r="R14" s="10">
        <f t="shared" si="4"/>
        <v>-10</v>
      </c>
      <c r="S14" s="2">
        <v>29</v>
      </c>
      <c r="T14" s="8">
        <f t="shared" si="5"/>
        <v>0</v>
      </c>
      <c r="U14" s="8">
        <f t="shared" si="6"/>
        <v>-49368</v>
      </c>
      <c r="V14" s="116">
        <f t="shared" si="7"/>
        <v>129</v>
      </c>
    </row>
    <row r="15" spans="1:22" ht="15">
      <c r="A15" s="180" t="s">
        <v>507</v>
      </c>
      <c r="B15" s="181">
        <v>43539</v>
      </c>
      <c r="C15" s="180" t="s">
        <v>508</v>
      </c>
      <c r="D15" s="182">
        <v>182.23</v>
      </c>
      <c r="F15" s="180"/>
      <c r="K15" s="181">
        <v>43551</v>
      </c>
      <c r="M15" s="183">
        <f t="shared" si="0"/>
        <v>43570</v>
      </c>
      <c r="N15" s="181">
        <v>43570</v>
      </c>
      <c r="O15" s="10">
        <f t="shared" si="1"/>
        <v>-19</v>
      </c>
      <c r="P15" s="10">
        <f t="shared" si="2"/>
        <v>0</v>
      </c>
      <c r="Q15" s="10">
        <f t="shared" si="3"/>
        <v>19</v>
      </c>
      <c r="R15" s="10">
        <f t="shared" si="4"/>
        <v>-11</v>
      </c>
      <c r="S15" s="2">
        <v>29</v>
      </c>
      <c r="T15" s="8">
        <f t="shared" si="5"/>
        <v>0</v>
      </c>
      <c r="U15" s="8">
        <f t="shared" si="6"/>
        <v>-2004.53</v>
      </c>
      <c r="V15" s="116">
        <f t="shared" si="7"/>
        <v>129</v>
      </c>
    </row>
    <row r="16" spans="1:22" ht="15">
      <c r="A16" s="180" t="s">
        <v>509</v>
      </c>
      <c r="B16" s="181">
        <v>43546</v>
      </c>
      <c r="C16" s="180" t="s">
        <v>510</v>
      </c>
      <c r="D16" s="182">
        <v>106.14</v>
      </c>
      <c r="F16" s="180"/>
      <c r="K16" s="181">
        <v>43551</v>
      </c>
      <c r="M16" s="183">
        <f t="shared" si="0"/>
        <v>43570</v>
      </c>
      <c r="N16" s="181">
        <v>43570</v>
      </c>
      <c r="O16" s="10">
        <f t="shared" si="1"/>
        <v>-19</v>
      </c>
      <c r="P16" s="10">
        <f t="shared" si="2"/>
        <v>0</v>
      </c>
      <c r="Q16" s="10">
        <f t="shared" si="3"/>
        <v>19</v>
      </c>
      <c r="R16" s="10">
        <f t="shared" si="4"/>
        <v>-11</v>
      </c>
      <c r="S16" s="2">
        <v>29</v>
      </c>
      <c r="T16" s="8">
        <f t="shared" si="5"/>
        <v>0</v>
      </c>
      <c r="U16" s="8">
        <f t="shared" si="6"/>
        <v>-1167.54</v>
      </c>
      <c r="V16" s="116">
        <f t="shared" si="7"/>
        <v>129</v>
      </c>
    </row>
    <row r="17" spans="1:22" ht="15">
      <c r="A17" s="180" t="s">
        <v>511</v>
      </c>
      <c r="B17" s="181">
        <v>43536</v>
      </c>
      <c r="C17" s="180" t="s">
        <v>512</v>
      </c>
      <c r="D17" s="182">
        <v>1211.38</v>
      </c>
      <c r="F17" s="180"/>
      <c r="K17" s="181">
        <v>43551</v>
      </c>
      <c r="M17" s="183">
        <f t="shared" si="0"/>
        <v>43570</v>
      </c>
      <c r="N17" s="181">
        <v>43570</v>
      </c>
      <c r="O17" s="10">
        <f t="shared" si="1"/>
        <v>-19</v>
      </c>
      <c r="P17" s="10">
        <f t="shared" si="2"/>
        <v>0</v>
      </c>
      <c r="Q17" s="10">
        <f t="shared" si="3"/>
        <v>19</v>
      </c>
      <c r="R17" s="10">
        <f t="shared" si="4"/>
        <v>-11</v>
      </c>
      <c r="S17" s="2">
        <v>29</v>
      </c>
      <c r="T17" s="8">
        <f t="shared" si="5"/>
        <v>0</v>
      </c>
      <c r="U17" s="8">
        <f t="shared" si="6"/>
        <v>-13325.18</v>
      </c>
      <c r="V17" s="116">
        <f t="shared" si="7"/>
        <v>129</v>
      </c>
    </row>
    <row r="18" spans="1:22" ht="15">
      <c r="A18" s="180" t="s">
        <v>513</v>
      </c>
      <c r="B18" s="181">
        <v>43546</v>
      </c>
      <c r="C18" s="180" t="s">
        <v>514</v>
      </c>
      <c r="D18" s="182">
        <v>36</v>
      </c>
      <c r="F18" s="180"/>
      <c r="K18" s="181">
        <v>43553</v>
      </c>
      <c r="M18" s="183">
        <f t="shared" si="0"/>
        <v>43570</v>
      </c>
      <c r="N18" s="181">
        <v>43570</v>
      </c>
      <c r="O18" s="10">
        <f>+N18-M18</f>
        <v>0</v>
      </c>
      <c r="P18" s="10">
        <f>+M18-$Q$2</f>
        <v>43570</v>
      </c>
      <c r="Q18" s="10">
        <f>+N18-$Q$2</f>
        <v>43570</v>
      </c>
      <c r="R18" s="10">
        <f t="shared" si="4"/>
        <v>43540</v>
      </c>
      <c r="S18" s="2">
        <v>29</v>
      </c>
      <c r="T18" s="8">
        <f t="shared" si="5"/>
        <v>1568520</v>
      </c>
      <c r="U18" s="8">
        <f t="shared" si="6"/>
        <v>1567440</v>
      </c>
      <c r="V18" s="116">
        <f t="shared" si="7"/>
        <v>229</v>
      </c>
    </row>
    <row r="19" spans="1:22" ht="15">
      <c r="A19" s="180" t="s">
        <v>515</v>
      </c>
      <c r="B19" s="181">
        <v>43481</v>
      </c>
      <c r="C19" s="180" t="s">
        <v>516</v>
      </c>
      <c r="D19" s="182">
        <v>179.15</v>
      </c>
      <c r="F19" s="180"/>
      <c r="K19" s="181">
        <v>43553</v>
      </c>
      <c r="M19" s="183">
        <f t="shared" si="0"/>
        <v>43570</v>
      </c>
      <c r="N19" s="181">
        <v>43570</v>
      </c>
      <c r="O19" s="10">
        <f aca="true" t="shared" si="8" ref="O19:O40">+N19-M19</f>
        <v>0</v>
      </c>
      <c r="P19" s="10">
        <f aca="true" t="shared" si="9" ref="P19:Q40">+M19-$Q$2</f>
        <v>43570</v>
      </c>
      <c r="Q19" s="10">
        <f t="shared" si="9"/>
        <v>43570</v>
      </c>
      <c r="R19" s="10">
        <f t="shared" si="4"/>
        <v>43540</v>
      </c>
      <c r="S19" s="2">
        <v>29</v>
      </c>
      <c r="V19" s="116"/>
    </row>
    <row r="20" spans="1:22" ht="15">
      <c r="A20" s="180" t="s">
        <v>517</v>
      </c>
      <c r="B20" s="181">
        <v>43481</v>
      </c>
      <c r="C20" s="180" t="s">
        <v>518</v>
      </c>
      <c r="D20" s="182">
        <v>192.87</v>
      </c>
      <c r="F20" s="180"/>
      <c r="K20" s="181">
        <v>43553</v>
      </c>
      <c r="M20" s="183">
        <f t="shared" si="0"/>
        <v>43570</v>
      </c>
      <c r="N20" s="181">
        <v>43570</v>
      </c>
      <c r="O20" s="10">
        <f t="shared" si="8"/>
        <v>0</v>
      </c>
      <c r="P20" s="10">
        <f t="shared" si="9"/>
        <v>43570</v>
      </c>
      <c r="Q20" s="10">
        <f t="shared" si="9"/>
        <v>43570</v>
      </c>
      <c r="R20" s="10">
        <f t="shared" si="4"/>
        <v>43540</v>
      </c>
      <c r="S20" s="2">
        <v>29</v>
      </c>
      <c r="V20" s="116"/>
    </row>
    <row r="21" spans="1:22" ht="15">
      <c r="A21" s="180" t="s">
        <v>519</v>
      </c>
      <c r="B21" s="181">
        <v>43522</v>
      </c>
      <c r="C21" s="180" t="s">
        <v>520</v>
      </c>
      <c r="D21" s="182">
        <v>71.38</v>
      </c>
      <c r="F21" s="180"/>
      <c r="K21" s="181">
        <v>43522</v>
      </c>
      <c r="M21" s="183">
        <f t="shared" si="0"/>
        <v>43570</v>
      </c>
      <c r="N21" s="181">
        <v>43570</v>
      </c>
      <c r="O21" s="10">
        <f t="shared" si="8"/>
        <v>0</v>
      </c>
      <c r="P21" s="10">
        <f t="shared" si="9"/>
        <v>43570</v>
      </c>
      <c r="Q21" s="10">
        <f t="shared" si="9"/>
        <v>43570</v>
      </c>
      <c r="R21" s="10">
        <f t="shared" si="4"/>
        <v>43540</v>
      </c>
      <c r="S21" s="2">
        <v>21</v>
      </c>
      <c r="V21" s="116"/>
    </row>
    <row r="22" spans="1:22" ht="15">
      <c r="A22" s="180" t="s">
        <v>521</v>
      </c>
      <c r="B22" s="181">
        <v>43524</v>
      </c>
      <c r="C22" s="180" t="s">
        <v>522</v>
      </c>
      <c r="D22" s="182">
        <v>710</v>
      </c>
      <c r="F22" s="180"/>
      <c r="K22" s="181">
        <v>43524</v>
      </c>
      <c r="M22" s="183">
        <f t="shared" si="0"/>
        <v>43558</v>
      </c>
      <c r="N22" s="181">
        <v>43558</v>
      </c>
      <c r="O22" s="10">
        <f t="shared" si="8"/>
        <v>0</v>
      </c>
      <c r="P22" s="10">
        <f t="shared" si="9"/>
        <v>43558</v>
      </c>
      <c r="Q22" s="10">
        <f t="shared" si="9"/>
        <v>43558</v>
      </c>
      <c r="R22" s="10">
        <f t="shared" si="4"/>
        <v>43528</v>
      </c>
      <c r="S22" s="2">
        <v>29</v>
      </c>
      <c r="V22" s="116"/>
    </row>
    <row r="23" spans="1:22" ht="15">
      <c r="A23" s="180" t="s">
        <v>523</v>
      </c>
      <c r="B23" s="181">
        <v>43552</v>
      </c>
      <c r="C23" s="180" t="s">
        <v>524</v>
      </c>
      <c r="D23" s="182">
        <v>460.82</v>
      </c>
      <c r="F23" s="180"/>
      <c r="K23" s="181">
        <v>43552</v>
      </c>
      <c r="M23" s="183">
        <f t="shared" si="0"/>
        <v>43571</v>
      </c>
      <c r="N23" s="181">
        <v>43571</v>
      </c>
      <c r="O23" s="10">
        <f t="shared" si="8"/>
        <v>0</v>
      </c>
      <c r="P23" s="10">
        <f t="shared" si="9"/>
        <v>43571</v>
      </c>
      <c r="Q23" s="10">
        <f t="shared" si="9"/>
        <v>43571</v>
      </c>
      <c r="R23" s="10">
        <f t="shared" si="4"/>
        <v>43541</v>
      </c>
      <c r="S23" s="2">
        <v>29</v>
      </c>
      <c r="V23" s="116"/>
    </row>
    <row r="24" spans="1:22" ht="15">
      <c r="A24" s="180" t="s">
        <v>525</v>
      </c>
      <c r="B24" s="181">
        <v>43555</v>
      </c>
      <c r="C24" s="180" t="s">
        <v>526</v>
      </c>
      <c r="D24" s="182">
        <v>346.06</v>
      </c>
      <c r="F24" s="180"/>
      <c r="K24" s="181">
        <v>43555</v>
      </c>
      <c r="M24" s="183">
        <f t="shared" si="0"/>
        <v>43557</v>
      </c>
      <c r="N24" s="181">
        <v>43557</v>
      </c>
      <c r="O24" s="10">
        <f t="shared" si="8"/>
        <v>0</v>
      </c>
      <c r="P24" s="10">
        <f t="shared" si="9"/>
        <v>43557</v>
      </c>
      <c r="Q24" s="10">
        <f t="shared" si="9"/>
        <v>43557</v>
      </c>
      <c r="R24" s="10">
        <f t="shared" si="4"/>
        <v>43527</v>
      </c>
      <c r="S24" s="2">
        <v>29</v>
      </c>
      <c r="V24" s="116"/>
    </row>
    <row r="25" spans="1:22" ht="15">
      <c r="A25" s="180" t="s">
        <v>527</v>
      </c>
      <c r="B25" s="181">
        <v>43552</v>
      </c>
      <c r="C25" s="180" t="s">
        <v>528</v>
      </c>
      <c r="D25" s="182">
        <v>736.31</v>
      </c>
      <c r="F25" s="180"/>
      <c r="K25" s="181">
        <v>43552</v>
      </c>
      <c r="M25" s="183">
        <f t="shared" si="0"/>
        <v>43571</v>
      </c>
      <c r="N25" s="181">
        <v>43571</v>
      </c>
      <c r="O25" s="10">
        <f t="shared" si="8"/>
        <v>0</v>
      </c>
      <c r="P25" s="10">
        <f t="shared" si="9"/>
        <v>43571</v>
      </c>
      <c r="Q25" s="10">
        <f t="shared" si="9"/>
        <v>43571</v>
      </c>
      <c r="R25" s="10">
        <f t="shared" si="4"/>
        <v>43541</v>
      </c>
      <c r="S25" s="2">
        <v>29</v>
      </c>
      <c r="V25" s="116"/>
    </row>
    <row r="26" spans="1:22" ht="15">
      <c r="A26" s="180" t="s">
        <v>529</v>
      </c>
      <c r="B26" s="181">
        <v>43552</v>
      </c>
      <c r="C26" s="180" t="s">
        <v>530</v>
      </c>
      <c r="D26" s="182">
        <v>721.2</v>
      </c>
      <c r="F26" s="180"/>
      <c r="K26" s="181">
        <v>43552</v>
      </c>
      <c r="M26" s="183">
        <f t="shared" si="0"/>
        <v>43571</v>
      </c>
      <c r="N26" s="181">
        <v>43571</v>
      </c>
      <c r="O26" s="10">
        <f t="shared" si="8"/>
        <v>0</v>
      </c>
      <c r="P26" s="10">
        <f t="shared" si="9"/>
        <v>43571</v>
      </c>
      <c r="Q26" s="10">
        <f t="shared" si="9"/>
        <v>43571</v>
      </c>
      <c r="R26" s="10">
        <f t="shared" si="4"/>
        <v>43541</v>
      </c>
      <c r="S26" s="2">
        <v>29</v>
      </c>
      <c r="V26" s="116"/>
    </row>
    <row r="27" spans="1:22" ht="15">
      <c r="A27" s="180" t="s">
        <v>531</v>
      </c>
      <c r="B27" s="181">
        <v>43555</v>
      </c>
      <c r="C27" s="180" t="s">
        <v>532</v>
      </c>
      <c r="D27" s="182">
        <v>91.11</v>
      </c>
      <c r="F27" s="180"/>
      <c r="K27" s="181">
        <v>43555</v>
      </c>
      <c r="M27" s="183">
        <f t="shared" si="0"/>
        <v>43560</v>
      </c>
      <c r="N27" s="181">
        <v>43560</v>
      </c>
      <c r="O27" s="10">
        <f t="shared" si="8"/>
        <v>0</v>
      </c>
      <c r="P27" s="10">
        <f t="shared" si="9"/>
        <v>43560</v>
      </c>
      <c r="Q27" s="10">
        <f t="shared" si="9"/>
        <v>43560</v>
      </c>
      <c r="R27" s="10">
        <f t="shared" si="4"/>
        <v>43530</v>
      </c>
      <c r="S27" s="2">
        <v>29</v>
      </c>
      <c r="V27" s="116"/>
    </row>
    <row r="28" spans="1:22" ht="15">
      <c r="A28" s="180" t="s">
        <v>533</v>
      </c>
      <c r="B28" s="181">
        <v>43555</v>
      </c>
      <c r="C28" s="180" t="s">
        <v>534</v>
      </c>
      <c r="D28" s="182">
        <v>1464.06</v>
      </c>
      <c r="F28" s="180"/>
      <c r="K28" s="181">
        <v>43555</v>
      </c>
      <c r="M28" s="183">
        <f t="shared" si="0"/>
        <v>43557</v>
      </c>
      <c r="N28" s="181">
        <v>43557</v>
      </c>
      <c r="O28" s="10">
        <f t="shared" si="8"/>
        <v>0</v>
      </c>
      <c r="P28" s="10">
        <f t="shared" si="9"/>
        <v>43557</v>
      </c>
      <c r="Q28" s="10">
        <f t="shared" si="9"/>
        <v>43557</v>
      </c>
      <c r="R28" s="10">
        <f t="shared" si="4"/>
        <v>43527</v>
      </c>
      <c r="S28" s="2">
        <v>29</v>
      </c>
      <c r="V28" s="116"/>
    </row>
    <row r="29" spans="1:22" ht="15">
      <c r="A29" s="180" t="s">
        <v>535</v>
      </c>
      <c r="B29" s="181">
        <v>43552</v>
      </c>
      <c r="C29" s="180" t="s">
        <v>536</v>
      </c>
      <c r="D29" s="182">
        <v>732.81</v>
      </c>
      <c r="F29" s="180"/>
      <c r="K29" s="181">
        <v>43552</v>
      </c>
      <c r="M29" s="183">
        <f t="shared" si="0"/>
        <v>43571</v>
      </c>
      <c r="N29" s="181">
        <v>43571</v>
      </c>
      <c r="O29" s="10">
        <f t="shared" si="8"/>
        <v>0</v>
      </c>
      <c r="P29" s="10">
        <f t="shared" si="9"/>
        <v>43571</v>
      </c>
      <c r="Q29" s="10">
        <f t="shared" si="9"/>
        <v>43571</v>
      </c>
      <c r="R29" s="10">
        <f t="shared" si="4"/>
        <v>43541</v>
      </c>
      <c r="S29" s="2">
        <v>29</v>
      </c>
      <c r="V29" s="116"/>
    </row>
    <row r="30" spans="1:22" ht="15">
      <c r="A30" s="180" t="s">
        <v>537</v>
      </c>
      <c r="B30" s="181">
        <v>43552</v>
      </c>
      <c r="C30" s="180" t="s">
        <v>538</v>
      </c>
      <c r="D30" s="182">
        <v>1175.73</v>
      </c>
      <c r="F30" s="180"/>
      <c r="K30" s="181">
        <v>43552</v>
      </c>
      <c r="M30" s="183">
        <f t="shared" si="0"/>
        <v>43571</v>
      </c>
      <c r="N30" s="181">
        <v>43571</v>
      </c>
      <c r="O30" s="10">
        <f t="shared" si="8"/>
        <v>0</v>
      </c>
      <c r="P30" s="10">
        <f t="shared" si="9"/>
        <v>43571</v>
      </c>
      <c r="Q30" s="10">
        <f t="shared" si="9"/>
        <v>43571</v>
      </c>
      <c r="R30" s="10">
        <f t="shared" si="4"/>
        <v>43541</v>
      </c>
      <c r="S30" s="2">
        <v>29</v>
      </c>
      <c r="V30" s="116"/>
    </row>
    <row r="31" spans="1:22" ht="15">
      <c r="A31" s="180" t="s">
        <v>539</v>
      </c>
      <c r="B31" s="181">
        <v>43552</v>
      </c>
      <c r="C31" s="180" t="s">
        <v>540</v>
      </c>
      <c r="D31" s="182">
        <v>849.23</v>
      </c>
      <c r="F31" s="180"/>
      <c r="K31" s="181">
        <v>43552</v>
      </c>
      <c r="M31" s="183">
        <f t="shared" si="0"/>
        <v>43571</v>
      </c>
      <c r="N31" s="181">
        <v>43571</v>
      </c>
      <c r="O31" s="10">
        <f t="shared" si="8"/>
        <v>0</v>
      </c>
      <c r="P31" s="10">
        <f t="shared" si="9"/>
        <v>43571</v>
      </c>
      <c r="Q31" s="10">
        <f t="shared" si="9"/>
        <v>43571</v>
      </c>
      <c r="R31" s="10">
        <f t="shared" si="4"/>
        <v>43541</v>
      </c>
      <c r="S31" s="2">
        <v>29</v>
      </c>
      <c r="V31" s="116"/>
    </row>
    <row r="32" spans="1:22" ht="15">
      <c r="A32" s="180" t="s">
        <v>541</v>
      </c>
      <c r="B32" s="181">
        <v>43555</v>
      </c>
      <c r="C32" s="180" t="s">
        <v>542</v>
      </c>
      <c r="D32" s="182">
        <v>1108.17</v>
      </c>
      <c r="F32" s="180"/>
      <c r="K32" s="181">
        <v>43555</v>
      </c>
      <c r="M32" s="183">
        <f t="shared" si="0"/>
        <v>43557</v>
      </c>
      <c r="N32" s="181">
        <v>43557</v>
      </c>
      <c r="O32" s="10">
        <f t="shared" si="8"/>
        <v>0</v>
      </c>
      <c r="P32" s="10">
        <f t="shared" si="9"/>
        <v>43557</v>
      </c>
      <c r="Q32" s="10">
        <f t="shared" si="9"/>
        <v>43557</v>
      </c>
      <c r="R32" s="10">
        <f t="shared" si="4"/>
        <v>43527</v>
      </c>
      <c r="S32" s="2">
        <v>29</v>
      </c>
      <c r="V32" s="116"/>
    </row>
    <row r="33" spans="1:22" ht="15">
      <c r="A33" s="180" t="s">
        <v>543</v>
      </c>
      <c r="B33" s="181">
        <v>43552</v>
      </c>
      <c r="C33" s="180" t="s">
        <v>544</v>
      </c>
      <c r="D33" s="182">
        <v>23.26</v>
      </c>
      <c r="F33" s="180"/>
      <c r="K33" s="181">
        <v>43552</v>
      </c>
      <c r="M33" s="183">
        <f t="shared" si="0"/>
        <v>43571</v>
      </c>
      <c r="N33" s="181">
        <v>43571</v>
      </c>
      <c r="O33" s="10">
        <f t="shared" si="8"/>
        <v>0</v>
      </c>
      <c r="P33" s="10">
        <f t="shared" si="9"/>
        <v>43571</v>
      </c>
      <c r="Q33" s="10">
        <f t="shared" si="9"/>
        <v>43571</v>
      </c>
      <c r="R33" s="10">
        <f t="shared" si="4"/>
        <v>43541</v>
      </c>
      <c r="S33" s="2">
        <v>29</v>
      </c>
      <c r="V33" s="116"/>
    </row>
    <row r="34" spans="1:22" ht="15">
      <c r="A34" s="180" t="s">
        <v>545</v>
      </c>
      <c r="B34" s="181">
        <v>43552</v>
      </c>
      <c r="C34" s="180" t="s">
        <v>546</v>
      </c>
      <c r="D34" s="182">
        <v>17.29</v>
      </c>
      <c r="F34" s="180"/>
      <c r="K34" s="181">
        <v>43552</v>
      </c>
      <c r="M34" s="183">
        <f t="shared" si="0"/>
        <v>43571</v>
      </c>
      <c r="N34" s="181">
        <v>43571</v>
      </c>
      <c r="O34" s="10">
        <f t="shared" si="8"/>
        <v>0</v>
      </c>
      <c r="P34" s="10">
        <f t="shared" si="9"/>
        <v>43571</v>
      </c>
      <c r="Q34" s="10">
        <f t="shared" si="9"/>
        <v>43571</v>
      </c>
      <c r="R34" s="10">
        <f t="shared" si="4"/>
        <v>43541</v>
      </c>
      <c r="S34" s="2">
        <v>29</v>
      </c>
      <c r="V34" s="116"/>
    </row>
    <row r="35" spans="1:22" ht="15">
      <c r="A35" s="180" t="s">
        <v>547</v>
      </c>
      <c r="B35" s="181">
        <v>43552</v>
      </c>
      <c r="C35" s="180" t="s">
        <v>548</v>
      </c>
      <c r="D35" s="182">
        <v>18.4</v>
      </c>
      <c r="F35" s="180"/>
      <c r="K35" s="181">
        <v>43552</v>
      </c>
      <c r="M35" s="183">
        <f t="shared" si="0"/>
        <v>43571</v>
      </c>
      <c r="N35" s="181">
        <v>43571</v>
      </c>
      <c r="O35" s="10">
        <f t="shared" si="8"/>
        <v>0</v>
      </c>
      <c r="P35" s="10">
        <f t="shared" si="9"/>
        <v>43571</v>
      </c>
      <c r="Q35" s="10">
        <f t="shared" si="9"/>
        <v>43571</v>
      </c>
      <c r="R35" s="10">
        <f t="shared" si="4"/>
        <v>43541</v>
      </c>
      <c r="S35" s="2">
        <v>29</v>
      </c>
      <c r="V35" s="116"/>
    </row>
    <row r="36" spans="1:22" ht="15">
      <c r="A36" s="180" t="s">
        <v>549</v>
      </c>
      <c r="B36" s="181">
        <v>43552</v>
      </c>
      <c r="C36" s="180" t="s">
        <v>550</v>
      </c>
      <c r="D36" s="182">
        <v>35.78</v>
      </c>
      <c r="F36" s="180"/>
      <c r="K36" s="181">
        <v>43552</v>
      </c>
      <c r="M36" s="183">
        <f t="shared" si="0"/>
        <v>43571</v>
      </c>
      <c r="N36" s="181">
        <v>43571</v>
      </c>
      <c r="O36" s="10">
        <f t="shared" si="8"/>
        <v>0</v>
      </c>
      <c r="P36" s="10">
        <f t="shared" si="9"/>
        <v>43571</v>
      </c>
      <c r="Q36" s="10">
        <f t="shared" si="9"/>
        <v>43571</v>
      </c>
      <c r="R36" s="10">
        <f t="shared" si="4"/>
        <v>43541</v>
      </c>
      <c r="S36" s="2">
        <v>29</v>
      </c>
      <c r="V36" s="116"/>
    </row>
    <row r="37" spans="1:22" ht="15">
      <c r="A37" s="180" t="s">
        <v>551</v>
      </c>
      <c r="B37" s="181">
        <v>43552</v>
      </c>
      <c r="C37" s="180" t="s">
        <v>552</v>
      </c>
      <c r="D37" s="182">
        <v>23.58</v>
      </c>
      <c r="F37" s="180"/>
      <c r="K37" s="181">
        <v>43552</v>
      </c>
      <c r="M37" s="183">
        <f t="shared" si="0"/>
        <v>43571</v>
      </c>
      <c r="N37" s="181">
        <v>43571</v>
      </c>
      <c r="O37" s="10">
        <f t="shared" si="8"/>
        <v>0</v>
      </c>
      <c r="P37" s="10">
        <f t="shared" si="9"/>
        <v>43571</v>
      </c>
      <c r="Q37" s="10">
        <f t="shared" si="9"/>
        <v>43571</v>
      </c>
      <c r="R37" s="10">
        <f t="shared" si="4"/>
        <v>43541</v>
      </c>
      <c r="S37" s="2">
        <v>29</v>
      </c>
      <c r="V37" s="116"/>
    </row>
    <row r="38" spans="1:22" ht="15">
      <c r="A38" s="180" t="s">
        <v>553</v>
      </c>
      <c r="B38" s="181">
        <v>43552</v>
      </c>
      <c r="C38" s="180" t="s">
        <v>554</v>
      </c>
      <c r="D38" s="182">
        <v>41.22</v>
      </c>
      <c r="F38" s="180"/>
      <c r="K38" s="181">
        <v>43552</v>
      </c>
      <c r="M38" s="183">
        <f t="shared" si="0"/>
        <v>43571</v>
      </c>
      <c r="N38" s="181">
        <v>43571</v>
      </c>
      <c r="O38" s="10">
        <f t="shared" si="8"/>
        <v>0</v>
      </c>
      <c r="P38" s="10">
        <f t="shared" si="9"/>
        <v>43571</v>
      </c>
      <c r="Q38" s="10">
        <f t="shared" si="9"/>
        <v>43571</v>
      </c>
      <c r="R38" s="10">
        <f t="shared" si="4"/>
        <v>43541</v>
      </c>
      <c r="S38" s="2">
        <v>29</v>
      </c>
      <c r="V38" s="116"/>
    </row>
    <row r="39" spans="1:22" ht="15">
      <c r="A39" s="180" t="s">
        <v>555</v>
      </c>
      <c r="B39" s="181">
        <v>43524</v>
      </c>
      <c r="C39" s="180" t="s">
        <v>556</v>
      </c>
      <c r="D39" s="182">
        <v>26.46</v>
      </c>
      <c r="F39" s="180"/>
      <c r="K39" s="181">
        <v>43524</v>
      </c>
      <c r="M39" s="183">
        <f t="shared" si="0"/>
        <v>43556</v>
      </c>
      <c r="N39" s="181">
        <v>43556</v>
      </c>
      <c r="O39" s="10">
        <f t="shared" si="8"/>
        <v>0</v>
      </c>
      <c r="P39" s="10">
        <f t="shared" si="9"/>
        <v>43556</v>
      </c>
      <c r="Q39" s="10">
        <f t="shared" si="9"/>
        <v>43556</v>
      </c>
      <c r="R39" s="10">
        <f t="shared" si="4"/>
        <v>43526</v>
      </c>
      <c r="S39" s="2">
        <v>29</v>
      </c>
      <c r="V39" s="116"/>
    </row>
    <row r="40" spans="1:22" ht="15">
      <c r="A40" s="180" t="s">
        <v>557</v>
      </c>
      <c r="B40" s="181">
        <v>43555</v>
      </c>
      <c r="C40" s="180" t="s">
        <v>558</v>
      </c>
      <c r="D40" s="182">
        <v>379.94</v>
      </c>
      <c r="F40" s="180"/>
      <c r="K40" s="181">
        <v>43555</v>
      </c>
      <c r="M40" s="183">
        <f t="shared" si="0"/>
        <v>43557</v>
      </c>
      <c r="N40" s="181">
        <v>43557</v>
      </c>
      <c r="O40" s="10">
        <f t="shared" si="8"/>
        <v>0</v>
      </c>
      <c r="P40" s="10">
        <f t="shared" si="9"/>
        <v>43557</v>
      </c>
      <c r="Q40" s="10">
        <f t="shared" si="9"/>
        <v>43557</v>
      </c>
      <c r="R40" s="10">
        <f t="shared" si="4"/>
        <v>43527</v>
      </c>
      <c r="S40" s="2">
        <v>29</v>
      </c>
      <c r="V40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1:V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16.7109375" style="2" customWidth="1"/>
    <col min="2" max="2" width="10.140625" style="15" bestFit="1" customWidth="1"/>
    <col min="3" max="3" width="9.14062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5" bestFit="1" customWidth="1"/>
    <col min="12" max="12" width="9.140625" style="15" customWidth="1"/>
    <col min="13" max="14" width="10.140625" style="15" bestFit="1" customWidth="1"/>
    <col min="15" max="15" width="9.140625" style="10" customWidth="1"/>
    <col min="16" max="16" width="9.8515625" style="10" bestFit="1" customWidth="1"/>
    <col min="17" max="17" width="9.8515625" style="2" bestFit="1" customWidth="1"/>
    <col min="18" max="19" width="15.57421875" style="8" bestFit="1" customWidth="1"/>
    <col min="20" max="16384" width="9.140625" style="2" customWidth="1"/>
  </cols>
  <sheetData>
    <row r="1" spans="1:16" ht="11.25">
      <c r="A1" s="3" t="s">
        <v>663</v>
      </c>
      <c r="B1" s="17"/>
      <c r="C1" s="4"/>
      <c r="D1" s="7"/>
      <c r="E1" s="4"/>
      <c r="F1" s="4"/>
      <c r="G1" s="4"/>
      <c r="K1" s="2"/>
      <c r="O1" s="113" t="s">
        <v>89</v>
      </c>
      <c r="P1" s="117">
        <v>43555</v>
      </c>
    </row>
    <row r="2" spans="1:16" ht="11.25">
      <c r="A2" s="3"/>
      <c r="B2" s="17"/>
      <c r="C2" s="4"/>
      <c r="D2" s="7"/>
      <c r="E2" s="4"/>
      <c r="F2" s="4"/>
      <c r="G2" s="4"/>
      <c r="I2" s="4"/>
      <c r="J2" s="4"/>
      <c r="K2" s="4"/>
      <c r="O2" s="114"/>
      <c r="P2" s="113"/>
    </row>
    <row r="3" spans="1:15" ht="11.25">
      <c r="A3" s="3"/>
      <c r="B3" s="17"/>
      <c r="C3" s="4"/>
      <c r="D3" s="7"/>
      <c r="E3" s="4"/>
      <c r="F3" s="4"/>
      <c r="G3" s="4"/>
      <c r="K3" s="2"/>
      <c r="O3" s="15"/>
    </row>
    <row r="4" spans="1:16" ht="11.25">
      <c r="A4" s="3"/>
      <c r="B4" s="17"/>
      <c r="C4" s="4"/>
      <c r="D4" s="7"/>
      <c r="E4" s="4"/>
      <c r="F4" s="4"/>
      <c r="G4" s="4"/>
      <c r="H4" s="4"/>
      <c r="I4" s="4"/>
      <c r="J4" s="4"/>
      <c r="N4" s="114"/>
      <c r="O4" s="113"/>
      <c r="P4" s="114"/>
    </row>
    <row r="5" spans="1:16" ht="11.25">
      <c r="A5" s="3"/>
      <c r="B5" s="17"/>
      <c r="C5" s="4"/>
      <c r="D5" s="7"/>
      <c r="E5" s="4"/>
      <c r="F5" s="4"/>
      <c r="G5" s="4"/>
      <c r="H5" s="4"/>
      <c r="I5" s="4"/>
      <c r="J5" s="4"/>
      <c r="N5" s="114"/>
      <c r="O5" s="113"/>
      <c r="P5" s="114"/>
    </row>
    <row r="7" spans="1:20" ht="38.25" customHeight="1">
      <c r="A7" s="5" t="s">
        <v>70</v>
      </c>
      <c r="B7" s="18" t="s">
        <v>71</v>
      </c>
      <c r="C7" s="6" t="s">
        <v>72</v>
      </c>
      <c r="D7" s="9" t="s">
        <v>57</v>
      </c>
      <c r="E7" s="5" t="s">
        <v>73</v>
      </c>
      <c r="F7" s="6" t="s">
        <v>74</v>
      </c>
      <c r="G7" s="6" t="s">
        <v>75</v>
      </c>
      <c r="H7" s="6" t="s">
        <v>8</v>
      </c>
      <c r="I7" s="6" t="s">
        <v>9</v>
      </c>
      <c r="J7" s="6" t="s">
        <v>7</v>
      </c>
      <c r="K7" s="16" t="s">
        <v>76</v>
      </c>
      <c r="L7" s="16" t="s">
        <v>77</v>
      </c>
      <c r="M7" s="16" t="s">
        <v>78</v>
      </c>
      <c r="N7" s="16" t="s">
        <v>79</v>
      </c>
      <c r="O7" s="12" t="s">
        <v>88</v>
      </c>
      <c r="P7" s="14" t="s">
        <v>56</v>
      </c>
      <c r="Q7" s="2" t="s">
        <v>10</v>
      </c>
      <c r="R7" s="8" t="s">
        <v>84</v>
      </c>
      <c r="S7" s="8" t="s">
        <v>85</v>
      </c>
      <c r="T7" s="2" t="s">
        <v>86</v>
      </c>
    </row>
    <row r="8" spans="1:22" ht="15">
      <c r="A8" s="180" t="s">
        <v>559</v>
      </c>
      <c r="B8" s="181">
        <v>43520</v>
      </c>
      <c r="C8" s="180" t="s">
        <v>560</v>
      </c>
      <c r="D8" s="182">
        <v>201.02</v>
      </c>
      <c r="F8" s="180"/>
      <c r="K8" s="181">
        <v>43556</v>
      </c>
      <c r="M8" s="183">
        <f aca="true" t="shared" si="0" ref="M8:M59">+N8</f>
        <v>43570</v>
      </c>
      <c r="N8" s="181">
        <v>43570</v>
      </c>
      <c r="O8" s="10">
        <f aca="true" t="shared" si="1" ref="O8:O59">+K8-M8</f>
        <v>-14</v>
      </c>
      <c r="P8" s="10">
        <f aca="true" t="shared" si="2" ref="P8:P59">+N8-M8</f>
        <v>0</v>
      </c>
      <c r="Q8" s="10">
        <f aca="true" t="shared" si="3" ref="Q8:Q59">+N8-K8</f>
        <v>14</v>
      </c>
      <c r="R8" s="10">
        <f aca="true" t="shared" si="4" ref="R8:R59">+Q8-30</f>
        <v>-16</v>
      </c>
      <c r="S8" s="2">
        <v>29</v>
      </c>
      <c r="T8" s="8">
        <f aca="true" t="shared" si="5" ref="T8:T59">+P8*D8</f>
        <v>0</v>
      </c>
      <c r="U8" s="8">
        <f aca="true" t="shared" si="6" ref="U8:U59">+R8*D8</f>
        <v>-3216.32</v>
      </c>
      <c r="V8" s="116">
        <f aca="true" t="shared" si="7" ref="V8:V59">IF(P8&gt;30,200+S8,100+S8)</f>
        <v>129</v>
      </c>
    </row>
    <row r="9" spans="1:22" ht="15">
      <c r="A9" s="180" t="s">
        <v>561</v>
      </c>
      <c r="B9" s="181">
        <v>43535</v>
      </c>
      <c r="C9" s="180" t="s">
        <v>562</v>
      </c>
      <c r="D9" s="182">
        <v>157.25</v>
      </c>
      <c r="F9" s="180"/>
      <c r="K9" s="181">
        <v>43556</v>
      </c>
      <c r="M9" s="183">
        <f t="shared" si="0"/>
        <v>43570</v>
      </c>
      <c r="N9" s="181">
        <v>43570</v>
      </c>
      <c r="O9" s="10">
        <f t="shared" si="1"/>
        <v>-14</v>
      </c>
      <c r="P9" s="10">
        <f t="shared" si="2"/>
        <v>0</v>
      </c>
      <c r="Q9" s="10">
        <f t="shared" si="3"/>
        <v>14</v>
      </c>
      <c r="R9" s="10">
        <f t="shared" si="4"/>
        <v>-16</v>
      </c>
      <c r="S9" s="2">
        <v>21</v>
      </c>
      <c r="T9" s="8">
        <f t="shared" si="5"/>
        <v>0</v>
      </c>
      <c r="U9" s="8">
        <f t="shared" si="6"/>
        <v>-2516</v>
      </c>
      <c r="V9" s="116">
        <f t="shared" si="7"/>
        <v>121</v>
      </c>
    </row>
    <row r="10" spans="1:22" ht="15">
      <c r="A10" s="180" t="s">
        <v>563</v>
      </c>
      <c r="B10" s="181">
        <v>43518</v>
      </c>
      <c r="C10" s="180" t="s">
        <v>564</v>
      </c>
      <c r="D10" s="182">
        <v>17.11</v>
      </c>
      <c r="F10" s="180"/>
      <c r="K10" s="181">
        <v>43557</v>
      </c>
      <c r="M10" s="183">
        <f t="shared" si="0"/>
        <v>43570</v>
      </c>
      <c r="N10" s="181">
        <v>43570</v>
      </c>
      <c r="O10" s="10">
        <f t="shared" si="1"/>
        <v>-13</v>
      </c>
      <c r="P10" s="10">
        <f t="shared" si="2"/>
        <v>0</v>
      </c>
      <c r="Q10" s="10">
        <f t="shared" si="3"/>
        <v>13</v>
      </c>
      <c r="R10" s="10">
        <f t="shared" si="4"/>
        <v>-17</v>
      </c>
      <c r="S10" s="2">
        <v>22</v>
      </c>
      <c r="T10" s="8">
        <f t="shared" si="5"/>
        <v>0</v>
      </c>
      <c r="U10" s="8">
        <f t="shared" si="6"/>
        <v>-290.87</v>
      </c>
      <c r="V10" s="116">
        <f t="shared" si="7"/>
        <v>122</v>
      </c>
    </row>
    <row r="11" spans="1:22" ht="15">
      <c r="A11" s="180" t="s">
        <v>565</v>
      </c>
      <c r="B11" s="181">
        <v>43535</v>
      </c>
      <c r="C11" s="180" t="s">
        <v>566</v>
      </c>
      <c r="D11" s="182">
        <v>18.8</v>
      </c>
      <c r="F11" s="180"/>
      <c r="K11" s="181">
        <v>43557</v>
      </c>
      <c r="M11" s="183">
        <f t="shared" si="0"/>
        <v>43570</v>
      </c>
      <c r="N11" s="181">
        <v>43570</v>
      </c>
      <c r="O11" s="10">
        <f t="shared" si="1"/>
        <v>-13</v>
      </c>
      <c r="P11" s="10">
        <f t="shared" si="2"/>
        <v>0</v>
      </c>
      <c r="Q11" s="10">
        <f t="shared" si="3"/>
        <v>13</v>
      </c>
      <c r="R11" s="10">
        <f t="shared" si="4"/>
        <v>-17</v>
      </c>
      <c r="S11" s="2">
        <v>22</v>
      </c>
      <c r="T11" s="8">
        <f t="shared" si="5"/>
        <v>0</v>
      </c>
      <c r="U11" s="8">
        <f t="shared" si="6"/>
        <v>-319.6</v>
      </c>
      <c r="V11" s="116">
        <f t="shared" si="7"/>
        <v>122</v>
      </c>
    </row>
    <row r="12" spans="1:22" ht="15">
      <c r="A12" s="180" t="s">
        <v>567</v>
      </c>
      <c r="B12" s="181">
        <v>43529</v>
      </c>
      <c r="C12" s="180" t="s">
        <v>568</v>
      </c>
      <c r="D12" s="182">
        <v>56.43</v>
      </c>
      <c r="F12" s="180"/>
      <c r="K12" s="181">
        <v>43557</v>
      </c>
      <c r="M12" s="183">
        <f t="shared" si="0"/>
        <v>43570</v>
      </c>
      <c r="N12" s="181">
        <v>43570</v>
      </c>
      <c r="O12" s="10">
        <f t="shared" si="1"/>
        <v>-13</v>
      </c>
      <c r="P12" s="10">
        <f t="shared" si="2"/>
        <v>0</v>
      </c>
      <c r="Q12" s="10">
        <f t="shared" si="3"/>
        <v>13</v>
      </c>
      <c r="R12" s="10">
        <f t="shared" si="4"/>
        <v>-17</v>
      </c>
      <c r="S12" s="2">
        <v>22</v>
      </c>
      <c r="T12" s="8">
        <f t="shared" si="5"/>
        <v>0</v>
      </c>
      <c r="U12" s="8">
        <f t="shared" si="6"/>
        <v>-959.31</v>
      </c>
      <c r="V12" s="116">
        <f t="shared" si="7"/>
        <v>122</v>
      </c>
    </row>
    <row r="13" spans="1:22" ht="15">
      <c r="A13" s="180" t="s">
        <v>569</v>
      </c>
      <c r="B13" s="181">
        <v>43542</v>
      </c>
      <c r="C13" s="180" t="s">
        <v>570</v>
      </c>
      <c r="D13" s="182">
        <v>719.96</v>
      </c>
      <c r="F13" s="180"/>
      <c r="K13" s="181">
        <v>43557</v>
      </c>
      <c r="M13" s="183">
        <f t="shared" si="0"/>
        <v>43559</v>
      </c>
      <c r="N13" s="181">
        <v>43559</v>
      </c>
      <c r="O13" s="10">
        <f t="shared" si="1"/>
        <v>-2</v>
      </c>
      <c r="P13" s="10">
        <f t="shared" si="2"/>
        <v>0</v>
      </c>
      <c r="Q13" s="10">
        <f t="shared" si="3"/>
        <v>2</v>
      </c>
      <c r="R13" s="10">
        <f t="shared" si="4"/>
        <v>-28</v>
      </c>
      <c r="S13" s="2">
        <v>29</v>
      </c>
      <c r="T13" s="8">
        <f t="shared" si="5"/>
        <v>0</v>
      </c>
      <c r="U13" s="8">
        <f t="shared" si="6"/>
        <v>-20158.88</v>
      </c>
      <c r="V13" s="116">
        <f t="shared" si="7"/>
        <v>129</v>
      </c>
    </row>
    <row r="14" spans="1:22" ht="15">
      <c r="A14" s="180" t="s">
        <v>571</v>
      </c>
      <c r="B14" s="181">
        <v>43555</v>
      </c>
      <c r="C14" s="180" t="s">
        <v>572</v>
      </c>
      <c r="D14" s="182">
        <v>1123.41</v>
      </c>
      <c r="F14" s="180"/>
      <c r="K14" s="181">
        <v>43557</v>
      </c>
      <c r="M14" s="183">
        <f t="shared" si="0"/>
        <v>43585</v>
      </c>
      <c r="N14" s="181">
        <v>43585</v>
      </c>
      <c r="O14" s="10">
        <f t="shared" si="1"/>
        <v>-28</v>
      </c>
      <c r="P14" s="10">
        <f t="shared" si="2"/>
        <v>0</v>
      </c>
      <c r="Q14" s="10">
        <f t="shared" si="3"/>
        <v>28</v>
      </c>
      <c r="R14" s="10">
        <f t="shared" si="4"/>
        <v>-2</v>
      </c>
      <c r="S14" s="2">
        <v>29</v>
      </c>
      <c r="T14" s="8">
        <f t="shared" si="5"/>
        <v>0</v>
      </c>
      <c r="U14" s="8">
        <f t="shared" si="6"/>
        <v>-2246.82</v>
      </c>
      <c r="V14" s="116">
        <f t="shared" si="7"/>
        <v>129</v>
      </c>
    </row>
    <row r="15" spans="1:22" ht="15">
      <c r="A15" s="180" t="s">
        <v>573</v>
      </c>
      <c r="B15" s="181">
        <v>43555</v>
      </c>
      <c r="C15" s="180" t="s">
        <v>574</v>
      </c>
      <c r="D15" s="182">
        <v>87.73</v>
      </c>
      <c r="F15" s="180"/>
      <c r="K15" s="181">
        <v>43557</v>
      </c>
      <c r="M15" s="183">
        <f t="shared" si="0"/>
        <v>43585</v>
      </c>
      <c r="N15" s="181">
        <v>43585</v>
      </c>
      <c r="O15" s="10">
        <f t="shared" si="1"/>
        <v>-28</v>
      </c>
      <c r="P15" s="10">
        <f t="shared" si="2"/>
        <v>0</v>
      </c>
      <c r="Q15" s="10">
        <f t="shared" si="3"/>
        <v>28</v>
      </c>
      <c r="R15" s="10">
        <f t="shared" si="4"/>
        <v>-2</v>
      </c>
      <c r="S15" s="2">
        <v>29</v>
      </c>
      <c r="T15" s="8">
        <f t="shared" si="5"/>
        <v>0</v>
      </c>
      <c r="U15" s="8">
        <f t="shared" si="6"/>
        <v>-175.46</v>
      </c>
      <c r="V15" s="116">
        <f t="shared" si="7"/>
        <v>129</v>
      </c>
    </row>
    <row r="16" spans="1:22" ht="15">
      <c r="A16" s="180" t="s">
        <v>575</v>
      </c>
      <c r="B16" s="181">
        <v>43551</v>
      </c>
      <c r="C16" s="180" t="s">
        <v>576</v>
      </c>
      <c r="D16" s="182">
        <v>1300</v>
      </c>
      <c r="F16" s="180"/>
      <c r="K16" s="181">
        <v>43557</v>
      </c>
      <c r="M16" s="183">
        <f t="shared" si="0"/>
        <v>43556</v>
      </c>
      <c r="N16" s="181">
        <v>43556</v>
      </c>
      <c r="O16" s="10">
        <f t="shared" si="1"/>
        <v>1</v>
      </c>
      <c r="P16" s="10">
        <f t="shared" si="2"/>
        <v>0</v>
      </c>
      <c r="Q16" s="10">
        <f t="shared" si="3"/>
        <v>-1</v>
      </c>
      <c r="R16" s="10">
        <f t="shared" si="4"/>
        <v>-31</v>
      </c>
      <c r="S16" s="2">
        <v>29</v>
      </c>
      <c r="T16" s="8">
        <f t="shared" si="5"/>
        <v>0</v>
      </c>
      <c r="U16" s="8">
        <f t="shared" si="6"/>
        <v>-40300</v>
      </c>
      <c r="V16" s="116">
        <f t="shared" si="7"/>
        <v>129</v>
      </c>
    </row>
    <row r="17" spans="1:22" ht="15">
      <c r="A17" s="180" t="s">
        <v>577</v>
      </c>
      <c r="B17" s="181">
        <v>43553</v>
      </c>
      <c r="C17" s="180" t="s">
        <v>578</v>
      </c>
      <c r="D17" s="182">
        <v>395.67</v>
      </c>
      <c r="F17" s="180"/>
      <c r="K17" s="181">
        <v>43558</v>
      </c>
      <c r="M17" s="183">
        <f t="shared" si="0"/>
        <v>43570</v>
      </c>
      <c r="N17" s="181">
        <v>43570</v>
      </c>
      <c r="O17" s="10">
        <f t="shared" si="1"/>
        <v>-12</v>
      </c>
      <c r="P17" s="10">
        <f t="shared" si="2"/>
        <v>0</v>
      </c>
      <c r="Q17" s="10">
        <f t="shared" si="3"/>
        <v>12</v>
      </c>
      <c r="R17" s="10">
        <f t="shared" si="4"/>
        <v>-18</v>
      </c>
      <c r="S17" s="2">
        <v>29</v>
      </c>
      <c r="T17" s="8">
        <f t="shared" si="5"/>
        <v>0</v>
      </c>
      <c r="U17" s="8">
        <f t="shared" si="6"/>
        <v>-7122.06</v>
      </c>
      <c r="V17" s="116">
        <f t="shared" si="7"/>
        <v>129</v>
      </c>
    </row>
    <row r="18" spans="1:22" ht="15">
      <c r="A18" s="180" t="s">
        <v>579</v>
      </c>
      <c r="B18" s="181">
        <v>43551</v>
      </c>
      <c r="C18" s="180" t="s">
        <v>580</v>
      </c>
      <c r="D18" s="182">
        <v>500</v>
      </c>
      <c r="F18" s="180"/>
      <c r="K18" s="181">
        <v>43558</v>
      </c>
      <c r="M18" s="183">
        <f t="shared" si="0"/>
        <v>43558</v>
      </c>
      <c r="N18" s="181">
        <v>43558</v>
      </c>
      <c r="O18" s="10">
        <f t="shared" si="1"/>
        <v>0</v>
      </c>
      <c r="P18" s="10">
        <f t="shared" si="2"/>
        <v>0</v>
      </c>
      <c r="Q18" s="10">
        <f t="shared" si="3"/>
        <v>0</v>
      </c>
      <c r="R18" s="10">
        <f t="shared" si="4"/>
        <v>-30</v>
      </c>
      <c r="S18" s="2">
        <v>29</v>
      </c>
      <c r="T18" s="8">
        <f t="shared" si="5"/>
        <v>0</v>
      </c>
      <c r="U18" s="8">
        <f t="shared" si="6"/>
        <v>-15000</v>
      </c>
      <c r="V18" s="116">
        <f t="shared" si="7"/>
        <v>129</v>
      </c>
    </row>
    <row r="19" spans="1:22" ht="15">
      <c r="A19" s="180" t="s">
        <v>581</v>
      </c>
      <c r="B19" s="181">
        <v>43524</v>
      </c>
      <c r="C19" s="180" t="s">
        <v>582</v>
      </c>
      <c r="D19" s="182">
        <v>3884.1</v>
      </c>
      <c r="F19" s="180"/>
      <c r="K19" s="181">
        <v>43558</v>
      </c>
      <c r="M19" s="183">
        <f t="shared" si="0"/>
        <v>43570</v>
      </c>
      <c r="N19" s="181">
        <v>43570</v>
      </c>
      <c r="O19" s="10">
        <f t="shared" si="1"/>
        <v>-12</v>
      </c>
      <c r="P19" s="10">
        <f t="shared" si="2"/>
        <v>0</v>
      </c>
      <c r="Q19" s="10">
        <f t="shared" si="3"/>
        <v>12</v>
      </c>
      <c r="R19" s="10">
        <f t="shared" si="4"/>
        <v>-18</v>
      </c>
      <c r="S19" s="2">
        <v>29</v>
      </c>
      <c r="T19" s="8">
        <f t="shared" si="5"/>
        <v>0</v>
      </c>
      <c r="U19" s="8">
        <f t="shared" si="6"/>
        <v>-69913.8</v>
      </c>
      <c r="V19" s="116">
        <f t="shared" si="7"/>
        <v>129</v>
      </c>
    </row>
    <row r="20" spans="1:22" ht="15">
      <c r="A20" s="180" t="s">
        <v>583</v>
      </c>
      <c r="B20" s="181">
        <v>43553</v>
      </c>
      <c r="C20" s="180" t="s">
        <v>584</v>
      </c>
      <c r="D20" s="182">
        <v>608.74</v>
      </c>
      <c r="F20" s="180"/>
      <c r="K20" s="181">
        <v>43558</v>
      </c>
      <c r="M20" s="183">
        <f t="shared" si="0"/>
        <v>43570</v>
      </c>
      <c r="N20" s="181">
        <v>43570</v>
      </c>
      <c r="O20" s="10">
        <f t="shared" si="1"/>
        <v>-12</v>
      </c>
      <c r="P20" s="10">
        <f t="shared" si="2"/>
        <v>0</v>
      </c>
      <c r="Q20" s="10">
        <f t="shared" si="3"/>
        <v>12</v>
      </c>
      <c r="R20" s="10">
        <f t="shared" si="4"/>
        <v>-18</v>
      </c>
      <c r="S20" s="2">
        <v>29</v>
      </c>
      <c r="T20" s="8">
        <f t="shared" si="5"/>
        <v>0</v>
      </c>
      <c r="U20" s="8">
        <f t="shared" si="6"/>
        <v>-10957.32</v>
      </c>
      <c r="V20" s="116">
        <f t="shared" si="7"/>
        <v>129</v>
      </c>
    </row>
    <row r="21" spans="1:22" ht="15">
      <c r="A21" s="180" t="s">
        <v>585</v>
      </c>
      <c r="B21" s="181">
        <v>43496</v>
      </c>
      <c r="C21" s="180" t="s">
        <v>586</v>
      </c>
      <c r="D21" s="182">
        <v>2976.6</v>
      </c>
      <c r="F21" s="180"/>
      <c r="K21" s="181">
        <v>43558</v>
      </c>
      <c r="M21" s="183">
        <f t="shared" si="0"/>
        <v>43570</v>
      </c>
      <c r="N21" s="181">
        <v>43570</v>
      </c>
      <c r="O21" s="10">
        <f t="shared" si="1"/>
        <v>-12</v>
      </c>
      <c r="P21" s="10">
        <f t="shared" si="2"/>
        <v>0</v>
      </c>
      <c r="Q21" s="10">
        <f t="shared" si="3"/>
        <v>12</v>
      </c>
      <c r="R21" s="10">
        <f t="shared" si="4"/>
        <v>-18</v>
      </c>
      <c r="S21" s="2">
        <v>29</v>
      </c>
      <c r="T21" s="8">
        <f t="shared" si="5"/>
        <v>0</v>
      </c>
      <c r="U21" s="8">
        <f t="shared" si="6"/>
        <v>-53578.799999999996</v>
      </c>
      <c r="V21" s="116">
        <f t="shared" si="7"/>
        <v>129</v>
      </c>
    </row>
    <row r="22" spans="1:22" ht="15">
      <c r="A22" s="180" t="s">
        <v>587</v>
      </c>
      <c r="B22" s="181">
        <v>43555</v>
      </c>
      <c r="C22" s="180" t="s">
        <v>588</v>
      </c>
      <c r="D22" s="182">
        <v>983.88</v>
      </c>
      <c r="F22" s="180"/>
      <c r="K22" s="181">
        <v>43559</v>
      </c>
      <c r="M22" s="183">
        <f t="shared" si="0"/>
        <v>43570</v>
      </c>
      <c r="N22" s="181">
        <v>43570</v>
      </c>
      <c r="O22" s="10">
        <f t="shared" si="1"/>
        <v>-11</v>
      </c>
      <c r="P22" s="10">
        <f t="shared" si="2"/>
        <v>0</v>
      </c>
      <c r="Q22" s="10">
        <f t="shared" si="3"/>
        <v>11</v>
      </c>
      <c r="R22" s="10">
        <f t="shared" si="4"/>
        <v>-19</v>
      </c>
      <c r="S22" s="2">
        <v>29</v>
      </c>
      <c r="T22" s="8">
        <f t="shared" si="5"/>
        <v>0</v>
      </c>
      <c r="U22" s="8">
        <f t="shared" si="6"/>
        <v>-18693.72</v>
      </c>
      <c r="V22" s="116">
        <f t="shared" si="7"/>
        <v>129</v>
      </c>
    </row>
    <row r="23" spans="1:22" ht="15">
      <c r="A23" s="180" t="s">
        <v>589</v>
      </c>
      <c r="B23" s="181">
        <v>43554</v>
      </c>
      <c r="C23" s="180" t="s">
        <v>590</v>
      </c>
      <c r="D23" s="182">
        <v>1096.32</v>
      </c>
      <c r="F23" s="180"/>
      <c r="K23" s="181">
        <v>43559</v>
      </c>
      <c r="M23" s="183">
        <f t="shared" si="0"/>
        <v>43570</v>
      </c>
      <c r="N23" s="181">
        <v>43570</v>
      </c>
      <c r="O23" s="10">
        <f t="shared" si="1"/>
        <v>-11</v>
      </c>
      <c r="P23" s="10">
        <f t="shared" si="2"/>
        <v>0</v>
      </c>
      <c r="Q23" s="10">
        <f t="shared" si="3"/>
        <v>11</v>
      </c>
      <c r="R23" s="10">
        <f t="shared" si="4"/>
        <v>-19</v>
      </c>
      <c r="S23" s="2">
        <v>29</v>
      </c>
      <c r="T23" s="8">
        <f t="shared" si="5"/>
        <v>0</v>
      </c>
      <c r="U23" s="8">
        <f t="shared" si="6"/>
        <v>-20830.079999999998</v>
      </c>
      <c r="V23" s="116">
        <f t="shared" si="7"/>
        <v>129</v>
      </c>
    </row>
    <row r="24" spans="1:22" ht="15">
      <c r="A24" s="180" t="s">
        <v>591</v>
      </c>
      <c r="B24" s="181">
        <v>43553</v>
      </c>
      <c r="C24" s="180" t="s">
        <v>592</v>
      </c>
      <c r="D24" s="182">
        <v>655.41</v>
      </c>
      <c r="F24" s="180"/>
      <c r="K24" s="181">
        <v>43559</v>
      </c>
      <c r="M24" s="183">
        <f t="shared" si="0"/>
        <v>43570</v>
      </c>
      <c r="N24" s="181">
        <v>43570</v>
      </c>
      <c r="O24" s="10">
        <f t="shared" si="1"/>
        <v>-11</v>
      </c>
      <c r="P24" s="10">
        <f t="shared" si="2"/>
        <v>0</v>
      </c>
      <c r="Q24" s="10">
        <f t="shared" si="3"/>
        <v>11</v>
      </c>
      <c r="R24" s="10">
        <f t="shared" si="4"/>
        <v>-19</v>
      </c>
      <c r="S24" s="2">
        <v>29</v>
      </c>
      <c r="T24" s="8">
        <f t="shared" si="5"/>
        <v>0</v>
      </c>
      <c r="U24" s="8">
        <f t="shared" si="6"/>
        <v>-12452.789999999999</v>
      </c>
      <c r="V24" s="116">
        <f t="shared" si="7"/>
        <v>129</v>
      </c>
    </row>
    <row r="25" spans="1:22" ht="15">
      <c r="A25" s="180" t="s">
        <v>593</v>
      </c>
      <c r="B25" s="181">
        <v>43553</v>
      </c>
      <c r="C25" s="180" t="s">
        <v>594</v>
      </c>
      <c r="D25" s="182">
        <v>2750</v>
      </c>
      <c r="F25" s="180"/>
      <c r="K25" s="181">
        <v>43559</v>
      </c>
      <c r="M25" s="183">
        <f t="shared" si="0"/>
        <v>43570</v>
      </c>
      <c r="N25" s="181">
        <v>43570</v>
      </c>
      <c r="O25" s="10">
        <f t="shared" si="1"/>
        <v>-11</v>
      </c>
      <c r="P25" s="10">
        <f t="shared" si="2"/>
        <v>0</v>
      </c>
      <c r="Q25" s="10">
        <f t="shared" si="3"/>
        <v>11</v>
      </c>
      <c r="R25" s="10">
        <f t="shared" si="4"/>
        <v>-19</v>
      </c>
      <c r="S25" s="2">
        <v>29</v>
      </c>
      <c r="T25" s="8">
        <f t="shared" si="5"/>
        <v>0</v>
      </c>
      <c r="U25" s="8">
        <f t="shared" si="6"/>
        <v>-52250</v>
      </c>
      <c r="V25" s="116">
        <f t="shared" si="7"/>
        <v>129</v>
      </c>
    </row>
    <row r="26" spans="1:22" ht="15">
      <c r="A26" s="180" t="s">
        <v>595</v>
      </c>
      <c r="B26" s="181">
        <v>43549</v>
      </c>
      <c r="C26" s="180" t="s">
        <v>596</v>
      </c>
      <c r="D26" s="182">
        <v>654.94</v>
      </c>
      <c r="F26" s="180"/>
      <c r="K26" s="181">
        <v>43560</v>
      </c>
      <c r="M26" s="183">
        <f t="shared" si="0"/>
        <v>43579</v>
      </c>
      <c r="N26" s="181">
        <v>43579</v>
      </c>
      <c r="O26" s="10">
        <f t="shared" si="1"/>
        <v>-19</v>
      </c>
      <c r="P26" s="10">
        <f t="shared" si="2"/>
        <v>0</v>
      </c>
      <c r="Q26" s="10">
        <f t="shared" si="3"/>
        <v>19</v>
      </c>
      <c r="R26" s="10">
        <f t="shared" si="4"/>
        <v>-11</v>
      </c>
      <c r="S26" s="2">
        <v>21</v>
      </c>
      <c r="T26" s="8">
        <f t="shared" si="5"/>
        <v>0</v>
      </c>
      <c r="U26" s="8">
        <f t="shared" si="6"/>
        <v>-7204.34</v>
      </c>
      <c r="V26" s="116">
        <f t="shared" si="7"/>
        <v>121</v>
      </c>
    </row>
    <row r="27" spans="1:22" ht="15">
      <c r="A27" s="180" t="s">
        <v>597</v>
      </c>
      <c r="B27" s="181">
        <v>43553</v>
      </c>
      <c r="C27" s="180" t="s">
        <v>598</v>
      </c>
      <c r="D27" s="182">
        <v>152</v>
      </c>
      <c r="F27" s="180"/>
      <c r="K27" s="181">
        <v>43560</v>
      </c>
      <c r="M27" s="183">
        <f t="shared" si="0"/>
        <v>43583</v>
      </c>
      <c r="N27" s="181">
        <v>43583</v>
      </c>
      <c r="O27" s="10">
        <f t="shared" si="1"/>
        <v>-23</v>
      </c>
      <c r="P27" s="10">
        <f t="shared" si="2"/>
        <v>0</v>
      </c>
      <c r="Q27" s="10">
        <f t="shared" si="3"/>
        <v>23</v>
      </c>
      <c r="R27" s="10">
        <f t="shared" si="4"/>
        <v>-7</v>
      </c>
      <c r="S27" s="2">
        <v>29</v>
      </c>
      <c r="T27" s="8">
        <f t="shared" si="5"/>
        <v>0</v>
      </c>
      <c r="U27" s="8">
        <f t="shared" si="6"/>
        <v>-1064</v>
      </c>
      <c r="V27" s="116">
        <f t="shared" si="7"/>
        <v>129</v>
      </c>
    </row>
    <row r="28" spans="1:22" ht="15">
      <c r="A28" s="180" t="s">
        <v>599</v>
      </c>
      <c r="B28" s="181">
        <v>43553</v>
      </c>
      <c r="C28" s="180" t="s">
        <v>600</v>
      </c>
      <c r="D28" s="182">
        <v>173.51</v>
      </c>
      <c r="F28" s="180"/>
      <c r="K28" s="181">
        <v>43563</v>
      </c>
      <c r="M28" s="183">
        <f t="shared" si="0"/>
        <v>43553</v>
      </c>
      <c r="N28" s="181">
        <v>43553</v>
      </c>
      <c r="O28" s="10">
        <f t="shared" si="1"/>
        <v>10</v>
      </c>
      <c r="P28" s="10">
        <f t="shared" si="2"/>
        <v>0</v>
      </c>
      <c r="Q28" s="10">
        <f t="shared" si="3"/>
        <v>-10</v>
      </c>
      <c r="R28" s="10">
        <f t="shared" si="4"/>
        <v>-40</v>
      </c>
      <c r="S28" s="2">
        <v>21</v>
      </c>
      <c r="T28" s="8">
        <f t="shared" si="5"/>
        <v>0</v>
      </c>
      <c r="U28" s="8">
        <f t="shared" si="6"/>
        <v>-6940.4</v>
      </c>
      <c r="V28" s="116">
        <f t="shared" si="7"/>
        <v>121</v>
      </c>
    </row>
    <row r="29" spans="1:22" ht="15">
      <c r="A29" s="180" t="s">
        <v>601</v>
      </c>
      <c r="B29" s="181">
        <v>43554</v>
      </c>
      <c r="C29" s="180" t="s">
        <v>602</v>
      </c>
      <c r="D29" s="182">
        <v>190.58</v>
      </c>
      <c r="F29" s="180"/>
      <c r="K29" s="181">
        <v>43563</v>
      </c>
      <c r="M29" s="183">
        <f t="shared" si="0"/>
        <v>43585</v>
      </c>
      <c r="N29" s="181">
        <v>43585</v>
      </c>
      <c r="O29" s="10">
        <f t="shared" si="1"/>
        <v>-22</v>
      </c>
      <c r="P29" s="10">
        <f t="shared" si="2"/>
        <v>0</v>
      </c>
      <c r="Q29" s="10">
        <f t="shared" si="3"/>
        <v>22</v>
      </c>
      <c r="R29" s="10">
        <f t="shared" si="4"/>
        <v>-8</v>
      </c>
      <c r="S29" s="2">
        <v>21</v>
      </c>
      <c r="T29" s="8">
        <f t="shared" si="5"/>
        <v>0</v>
      </c>
      <c r="U29" s="8">
        <f t="shared" si="6"/>
        <v>-1524.64</v>
      </c>
      <c r="V29" s="116">
        <f t="shared" si="7"/>
        <v>121</v>
      </c>
    </row>
    <row r="30" spans="1:22" ht="15">
      <c r="A30" s="180" t="s">
        <v>603</v>
      </c>
      <c r="B30" s="181">
        <v>43554</v>
      </c>
      <c r="C30" s="180" t="s">
        <v>604</v>
      </c>
      <c r="D30" s="182">
        <v>213.32</v>
      </c>
      <c r="F30" s="180"/>
      <c r="K30" s="181">
        <v>43564</v>
      </c>
      <c r="M30" s="183">
        <f t="shared" si="0"/>
        <v>43585</v>
      </c>
      <c r="N30" s="181">
        <v>43585</v>
      </c>
      <c r="O30" s="10">
        <f t="shared" si="1"/>
        <v>-21</v>
      </c>
      <c r="P30" s="10">
        <f t="shared" si="2"/>
        <v>0</v>
      </c>
      <c r="Q30" s="10">
        <f t="shared" si="3"/>
        <v>21</v>
      </c>
      <c r="R30" s="10">
        <f t="shared" si="4"/>
        <v>-9</v>
      </c>
      <c r="S30" s="2">
        <v>21</v>
      </c>
      <c r="T30" s="8">
        <f t="shared" si="5"/>
        <v>0</v>
      </c>
      <c r="U30" s="8">
        <f t="shared" si="6"/>
        <v>-1919.8799999999999</v>
      </c>
      <c r="V30" s="116">
        <f t="shared" si="7"/>
        <v>121</v>
      </c>
    </row>
    <row r="31" spans="1:22" ht="15">
      <c r="A31" s="180" t="s">
        <v>605</v>
      </c>
      <c r="B31" s="181">
        <v>43481</v>
      </c>
      <c r="C31" s="180" t="s">
        <v>606</v>
      </c>
      <c r="D31" s="182">
        <v>1710.08</v>
      </c>
      <c r="F31" s="180"/>
      <c r="K31" s="181">
        <v>43565</v>
      </c>
      <c r="M31" s="183">
        <f t="shared" si="0"/>
        <v>43570</v>
      </c>
      <c r="N31" s="181">
        <v>43570</v>
      </c>
      <c r="O31" s="10">
        <f t="shared" si="1"/>
        <v>-5</v>
      </c>
      <c r="P31" s="10">
        <f t="shared" si="2"/>
        <v>0</v>
      </c>
      <c r="Q31" s="10">
        <f t="shared" si="3"/>
        <v>5</v>
      </c>
      <c r="R31" s="10">
        <f t="shared" si="4"/>
        <v>-25</v>
      </c>
      <c r="S31" s="2">
        <v>29</v>
      </c>
      <c r="T31" s="8">
        <f t="shared" si="5"/>
        <v>0</v>
      </c>
      <c r="U31" s="8">
        <f t="shared" si="6"/>
        <v>-42752</v>
      </c>
      <c r="V31" s="116">
        <f t="shared" si="7"/>
        <v>129</v>
      </c>
    </row>
    <row r="32" spans="1:22" ht="15">
      <c r="A32" s="180" t="s">
        <v>607</v>
      </c>
      <c r="B32" s="181">
        <v>43536</v>
      </c>
      <c r="C32" s="180" t="s">
        <v>608</v>
      </c>
      <c r="D32" s="182">
        <v>929.5</v>
      </c>
      <c r="F32" s="180"/>
      <c r="K32" s="181">
        <v>43565</v>
      </c>
      <c r="M32" s="183">
        <f t="shared" si="0"/>
        <v>43570</v>
      </c>
      <c r="N32" s="181">
        <v>43570</v>
      </c>
      <c r="O32" s="10">
        <f t="shared" si="1"/>
        <v>-5</v>
      </c>
      <c r="P32" s="10">
        <f t="shared" si="2"/>
        <v>0</v>
      </c>
      <c r="Q32" s="10">
        <f t="shared" si="3"/>
        <v>5</v>
      </c>
      <c r="R32" s="10">
        <f t="shared" si="4"/>
        <v>-25</v>
      </c>
      <c r="S32" s="2">
        <v>29</v>
      </c>
      <c r="T32" s="8">
        <f t="shared" si="5"/>
        <v>0</v>
      </c>
      <c r="U32" s="8">
        <f t="shared" si="6"/>
        <v>-23237.5</v>
      </c>
      <c r="V32" s="116">
        <f t="shared" si="7"/>
        <v>129</v>
      </c>
    </row>
    <row r="33" spans="1:22" ht="15">
      <c r="A33" s="180" t="s">
        <v>609</v>
      </c>
      <c r="B33" s="181">
        <v>43555</v>
      </c>
      <c r="C33" s="180" t="s">
        <v>610</v>
      </c>
      <c r="D33" s="182">
        <v>464.86</v>
      </c>
      <c r="F33" s="180"/>
      <c r="K33" s="181">
        <v>43565</v>
      </c>
      <c r="M33" s="183">
        <f t="shared" si="0"/>
        <v>43570</v>
      </c>
      <c r="N33" s="181">
        <v>43570</v>
      </c>
      <c r="O33" s="10">
        <f t="shared" si="1"/>
        <v>-5</v>
      </c>
      <c r="P33" s="10">
        <f t="shared" si="2"/>
        <v>0</v>
      </c>
      <c r="Q33" s="10">
        <f t="shared" si="3"/>
        <v>5</v>
      </c>
      <c r="R33" s="10">
        <f t="shared" si="4"/>
        <v>-25</v>
      </c>
      <c r="S33" s="2">
        <v>29</v>
      </c>
      <c r="T33" s="8">
        <f t="shared" si="5"/>
        <v>0</v>
      </c>
      <c r="U33" s="8">
        <f t="shared" si="6"/>
        <v>-11621.5</v>
      </c>
      <c r="V33" s="116">
        <f t="shared" si="7"/>
        <v>129</v>
      </c>
    </row>
    <row r="34" spans="1:22" ht="15">
      <c r="A34" s="180" t="s">
        <v>611</v>
      </c>
      <c r="B34" s="181">
        <v>43504</v>
      </c>
      <c r="C34" s="180" t="s">
        <v>612</v>
      </c>
      <c r="D34" s="182">
        <v>173.64</v>
      </c>
      <c r="F34" s="180"/>
      <c r="K34" s="181">
        <v>43566</v>
      </c>
      <c r="M34" s="183">
        <f t="shared" si="0"/>
        <v>43570</v>
      </c>
      <c r="N34" s="181">
        <v>43570</v>
      </c>
      <c r="O34" s="10">
        <f t="shared" si="1"/>
        <v>-4</v>
      </c>
      <c r="P34" s="10">
        <f t="shared" si="2"/>
        <v>0</v>
      </c>
      <c r="Q34" s="10">
        <f t="shared" si="3"/>
        <v>4</v>
      </c>
      <c r="R34" s="10">
        <f t="shared" si="4"/>
        <v>-26</v>
      </c>
      <c r="S34" s="2">
        <v>29</v>
      </c>
      <c r="T34" s="8">
        <f t="shared" si="5"/>
        <v>0</v>
      </c>
      <c r="U34" s="8">
        <f t="shared" si="6"/>
        <v>-4514.639999999999</v>
      </c>
      <c r="V34" s="116">
        <f t="shared" si="7"/>
        <v>129</v>
      </c>
    </row>
    <row r="35" spans="1:22" ht="15">
      <c r="A35" s="180" t="s">
        <v>613</v>
      </c>
      <c r="B35" s="181">
        <v>43537</v>
      </c>
      <c r="C35" s="180" t="s">
        <v>614</v>
      </c>
      <c r="D35" s="182">
        <v>1815</v>
      </c>
      <c r="F35" s="180"/>
      <c r="K35" s="181">
        <v>43566</v>
      </c>
      <c r="M35" s="183">
        <f t="shared" si="0"/>
        <v>43568</v>
      </c>
      <c r="N35" s="181">
        <v>43568</v>
      </c>
      <c r="O35" s="10">
        <f t="shared" si="1"/>
        <v>-2</v>
      </c>
      <c r="P35" s="10">
        <f t="shared" si="2"/>
        <v>0</v>
      </c>
      <c r="Q35" s="10">
        <f t="shared" si="3"/>
        <v>2</v>
      </c>
      <c r="R35" s="10">
        <f t="shared" si="4"/>
        <v>-28</v>
      </c>
      <c r="S35" s="2">
        <v>29</v>
      </c>
      <c r="T35" s="8">
        <f t="shared" si="5"/>
        <v>0</v>
      </c>
      <c r="U35" s="8">
        <f t="shared" si="6"/>
        <v>-50820</v>
      </c>
      <c r="V35" s="116">
        <f t="shared" si="7"/>
        <v>129</v>
      </c>
    </row>
    <row r="36" spans="1:22" ht="15">
      <c r="A36" s="180" t="s">
        <v>615</v>
      </c>
      <c r="B36" s="181">
        <v>43554</v>
      </c>
      <c r="C36" s="180" t="s">
        <v>616</v>
      </c>
      <c r="D36" s="182">
        <v>79.9</v>
      </c>
      <c r="F36" s="180"/>
      <c r="K36" s="181">
        <v>43566</v>
      </c>
      <c r="M36" s="183">
        <f t="shared" si="0"/>
        <v>43585</v>
      </c>
      <c r="N36" s="181">
        <v>43585</v>
      </c>
      <c r="O36" s="10">
        <f t="shared" si="1"/>
        <v>-19</v>
      </c>
      <c r="P36" s="10">
        <f t="shared" si="2"/>
        <v>0</v>
      </c>
      <c r="Q36" s="10">
        <f t="shared" si="3"/>
        <v>19</v>
      </c>
      <c r="R36" s="10">
        <f t="shared" si="4"/>
        <v>-11</v>
      </c>
      <c r="S36" s="2">
        <v>21</v>
      </c>
      <c r="T36" s="8">
        <f t="shared" si="5"/>
        <v>0</v>
      </c>
      <c r="U36" s="8">
        <f t="shared" si="6"/>
        <v>-878.9000000000001</v>
      </c>
      <c r="V36" s="116">
        <f t="shared" si="7"/>
        <v>121</v>
      </c>
    </row>
    <row r="37" spans="1:22" ht="15">
      <c r="A37" s="180" t="s">
        <v>617</v>
      </c>
      <c r="B37" s="181">
        <v>43539</v>
      </c>
      <c r="C37" s="180" t="s">
        <v>618</v>
      </c>
      <c r="D37" s="182">
        <v>8929.8</v>
      </c>
      <c r="F37" s="180"/>
      <c r="K37" s="181">
        <v>43566</v>
      </c>
      <c r="M37" s="183">
        <f t="shared" si="0"/>
        <v>43502</v>
      </c>
      <c r="N37" s="181">
        <v>43502</v>
      </c>
      <c r="O37" s="10">
        <f t="shared" si="1"/>
        <v>64</v>
      </c>
      <c r="P37" s="10">
        <f t="shared" si="2"/>
        <v>0</v>
      </c>
      <c r="Q37" s="10">
        <f t="shared" si="3"/>
        <v>-64</v>
      </c>
      <c r="R37" s="10">
        <f t="shared" si="4"/>
        <v>-94</v>
      </c>
      <c r="S37" s="2">
        <v>29</v>
      </c>
      <c r="T37" s="8">
        <f t="shared" si="5"/>
        <v>0</v>
      </c>
      <c r="U37" s="8">
        <f t="shared" si="6"/>
        <v>-839401.2</v>
      </c>
      <c r="V37" s="116">
        <f t="shared" si="7"/>
        <v>129</v>
      </c>
    </row>
    <row r="38" spans="1:22" ht="15">
      <c r="A38" s="180" t="s">
        <v>619</v>
      </c>
      <c r="B38" s="181">
        <v>43466</v>
      </c>
      <c r="C38" s="180" t="s">
        <v>620</v>
      </c>
      <c r="D38" s="182">
        <v>35</v>
      </c>
      <c r="F38" s="180"/>
      <c r="K38" s="181">
        <v>43566</v>
      </c>
      <c r="M38" s="183">
        <f t="shared" si="0"/>
        <v>43571</v>
      </c>
      <c r="N38" s="181">
        <v>43571</v>
      </c>
      <c r="O38" s="10">
        <f t="shared" si="1"/>
        <v>-5</v>
      </c>
      <c r="P38" s="10">
        <f t="shared" si="2"/>
        <v>0</v>
      </c>
      <c r="Q38" s="10">
        <f t="shared" si="3"/>
        <v>5</v>
      </c>
      <c r="R38" s="10">
        <f t="shared" si="4"/>
        <v>-25</v>
      </c>
      <c r="S38" s="2">
        <v>29</v>
      </c>
      <c r="T38" s="8">
        <f t="shared" si="5"/>
        <v>0</v>
      </c>
      <c r="U38" s="8">
        <f t="shared" si="6"/>
        <v>-875</v>
      </c>
      <c r="V38" s="116">
        <f t="shared" si="7"/>
        <v>129</v>
      </c>
    </row>
    <row r="39" spans="1:22" ht="15">
      <c r="A39" s="180" t="s">
        <v>621</v>
      </c>
      <c r="B39" s="181">
        <v>43466</v>
      </c>
      <c r="C39" s="180" t="s">
        <v>622</v>
      </c>
      <c r="D39" s="182">
        <v>210</v>
      </c>
      <c r="F39" s="180"/>
      <c r="K39" s="181">
        <v>43566</v>
      </c>
      <c r="M39" s="183">
        <f t="shared" si="0"/>
        <v>43571</v>
      </c>
      <c r="N39" s="181">
        <v>43571</v>
      </c>
      <c r="O39" s="10">
        <f t="shared" si="1"/>
        <v>-5</v>
      </c>
      <c r="P39" s="10">
        <f t="shared" si="2"/>
        <v>0</v>
      </c>
      <c r="Q39" s="10">
        <f t="shared" si="3"/>
        <v>5</v>
      </c>
      <c r="R39" s="10">
        <f t="shared" si="4"/>
        <v>-25</v>
      </c>
      <c r="S39" s="2">
        <v>29</v>
      </c>
      <c r="T39" s="8">
        <f t="shared" si="5"/>
        <v>0</v>
      </c>
      <c r="U39" s="8">
        <f t="shared" si="6"/>
        <v>-5250</v>
      </c>
      <c r="V39" s="116">
        <f t="shared" si="7"/>
        <v>129</v>
      </c>
    </row>
    <row r="40" spans="1:22" ht="15">
      <c r="A40" s="180" t="s">
        <v>623</v>
      </c>
      <c r="B40" s="181">
        <v>43466</v>
      </c>
      <c r="C40" s="180" t="s">
        <v>624</v>
      </c>
      <c r="D40" s="182">
        <v>700</v>
      </c>
      <c r="F40" s="180"/>
      <c r="K40" s="181">
        <v>43566</v>
      </c>
      <c r="M40" s="183">
        <f t="shared" si="0"/>
        <v>43571</v>
      </c>
      <c r="N40" s="181">
        <v>43571</v>
      </c>
      <c r="O40" s="10">
        <f t="shared" si="1"/>
        <v>-5</v>
      </c>
      <c r="P40" s="10">
        <f t="shared" si="2"/>
        <v>0</v>
      </c>
      <c r="Q40" s="10">
        <f t="shared" si="3"/>
        <v>5</v>
      </c>
      <c r="R40" s="10">
        <f t="shared" si="4"/>
        <v>-25</v>
      </c>
      <c r="S40" s="2">
        <v>29</v>
      </c>
      <c r="T40" s="8">
        <f t="shared" si="5"/>
        <v>0</v>
      </c>
      <c r="U40" s="8">
        <f t="shared" si="6"/>
        <v>-17500</v>
      </c>
      <c r="V40" s="116">
        <f t="shared" si="7"/>
        <v>129</v>
      </c>
    </row>
    <row r="41" spans="1:22" ht="15">
      <c r="A41" s="180" t="s">
        <v>625</v>
      </c>
      <c r="B41" s="181">
        <v>43466</v>
      </c>
      <c r="C41" s="180" t="s">
        <v>626</v>
      </c>
      <c r="D41" s="182">
        <v>525</v>
      </c>
      <c r="F41" s="180"/>
      <c r="K41" s="181">
        <v>43566</v>
      </c>
      <c r="M41" s="183">
        <f t="shared" si="0"/>
        <v>43571</v>
      </c>
      <c r="N41" s="181">
        <v>43571</v>
      </c>
      <c r="O41" s="10">
        <f t="shared" si="1"/>
        <v>-5</v>
      </c>
      <c r="P41" s="10">
        <f t="shared" si="2"/>
        <v>0</v>
      </c>
      <c r="Q41" s="10">
        <f t="shared" si="3"/>
        <v>5</v>
      </c>
      <c r="R41" s="10">
        <f t="shared" si="4"/>
        <v>-25</v>
      </c>
      <c r="S41" s="2">
        <v>29</v>
      </c>
      <c r="T41" s="8">
        <f t="shared" si="5"/>
        <v>0</v>
      </c>
      <c r="U41" s="8">
        <f t="shared" si="6"/>
        <v>-13125</v>
      </c>
      <c r="V41" s="116">
        <f t="shared" si="7"/>
        <v>129</v>
      </c>
    </row>
    <row r="42" spans="1:22" ht="15">
      <c r="A42" s="180" t="s">
        <v>627</v>
      </c>
      <c r="B42" s="181">
        <v>43466</v>
      </c>
      <c r="C42" s="180" t="s">
        <v>628</v>
      </c>
      <c r="D42" s="182">
        <v>525</v>
      </c>
      <c r="F42" s="180"/>
      <c r="K42" s="181">
        <v>43566</v>
      </c>
      <c r="M42" s="183">
        <f t="shared" si="0"/>
        <v>43571</v>
      </c>
      <c r="N42" s="181">
        <v>43571</v>
      </c>
      <c r="O42" s="10">
        <f t="shared" si="1"/>
        <v>-5</v>
      </c>
      <c r="P42" s="10">
        <f t="shared" si="2"/>
        <v>0</v>
      </c>
      <c r="Q42" s="10">
        <f t="shared" si="3"/>
        <v>5</v>
      </c>
      <c r="R42" s="10">
        <f t="shared" si="4"/>
        <v>-25</v>
      </c>
      <c r="S42" s="2">
        <v>29</v>
      </c>
      <c r="T42" s="8">
        <f t="shared" si="5"/>
        <v>0</v>
      </c>
      <c r="U42" s="8">
        <f t="shared" si="6"/>
        <v>-13125</v>
      </c>
      <c r="V42" s="116">
        <f t="shared" si="7"/>
        <v>129</v>
      </c>
    </row>
    <row r="43" spans="1:22" ht="15">
      <c r="A43" s="180" t="s">
        <v>629</v>
      </c>
      <c r="B43" s="181">
        <v>43466</v>
      </c>
      <c r="C43" s="180" t="s">
        <v>630</v>
      </c>
      <c r="D43" s="182">
        <v>700</v>
      </c>
      <c r="F43" s="180"/>
      <c r="K43" s="181">
        <v>43566</v>
      </c>
      <c r="M43" s="183">
        <f t="shared" si="0"/>
        <v>43571</v>
      </c>
      <c r="N43" s="181">
        <v>43571</v>
      </c>
      <c r="O43" s="10">
        <f t="shared" si="1"/>
        <v>-5</v>
      </c>
      <c r="P43" s="10">
        <f t="shared" si="2"/>
        <v>0</v>
      </c>
      <c r="Q43" s="10">
        <f t="shared" si="3"/>
        <v>5</v>
      </c>
      <c r="R43" s="10">
        <f t="shared" si="4"/>
        <v>-25</v>
      </c>
      <c r="S43" s="2">
        <v>29</v>
      </c>
      <c r="T43" s="8">
        <f t="shared" si="5"/>
        <v>0</v>
      </c>
      <c r="U43" s="8">
        <f t="shared" si="6"/>
        <v>-17500</v>
      </c>
      <c r="V43" s="116">
        <f t="shared" si="7"/>
        <v>129</v>
      </c>
    </row>
    <row r="44" spans="1:22" ht="15">
      <c r="A44" s="180" t="s">
        <v>631</v>
      </c>
      <c r="B44" s="181">
        <v>43466</v>
      </c>
      <c r="C44" s="180" t="s">
        <v>632</v>
      </c>
      <c r="D44" s="182">
        <v>420</v>
      </c>
      <c r="F44" s="180"/>
      <c r="K44" s="181">
        <v>43566</v>
      </c>
      <c r="M44" s="183">
        <f t="shared" si="0"/>
        <v>43571</v>
      </c>
      <c r="N44" s="181">
        <v>43571</v>
      </c>
      <c r="O44" s="10">
        <f t="shared" si="1"/>
        <v>-5</v>
      </c>
      <c r="P44" s="10">
        <f t="shared" si="2"/>
        <v>0</v>
      </c>
      <c r="Q44" s="10">
        <f t="shared" si="3"/>
        <v>5</v>
      </c>
      <c r="R44" s="10">
        <f t="shared" si="4"/>
        <v>-25</v>
      </c>
      <c r="S44" s="2">
        <v>29</v>
      </c>
      <c r="T44" s="8">
        <f t="shared" si="5"/>
        <v>0</v>
      </c>
      <c r="U44" s="8">
        <f t="shared" si="6"/>
        <v>-10500</v>
      </c>
      <c r="V44" s="116">
        <f t="shared" si="7"/>
        <v>129</v>
      </c>
    </row>
    <row r="45" spans="1:22" ht="15">
      <c r="A45" s="180" t="s">
        <v>633</v>
      </c>
      <c r="B45" s="181">
        <v>43466</v>
      </c>
      <c r="C45" s="180" t="s">
        <v>634</v>
      </c>
      <c r="D45" s="182">
        <v>560</v>
      </c>
      <c r="F45" s="180"/>
      <c r="K45" s="181">
        <v>43566</v>
      </c>
      <c r="M45" s="183">
        <f t="shared" si="0"/>
        <v>43571</v>
      </c>
      <c r="N45" s="181">
        <v>43571</v>
      </c>
      <c r="O45" s="10">
        <f t="shared" si="1"/>
        <v>-5</v>
      </c>
      <c r="P45" s="10">
        <f t="shared" si="2"/>
        <v>0</v>
      </c>
      <c r="Q45" s="10">
        <f t="shared" si="3"/>
        <v>5</v>
      </c>
      <c r="R45" s="10">
        <f t="shared" si="4"/>
        <v>-25</v>
      </c>
      <c r="S45" s="2">
        <v>29</v>
      </c>
      <c r="T45" s="8">
        <f t="shared" si="5"/>
        <v>0</v>
      </c>
      <c r="U45" s="8">
        <f t="shared" si="6"/>
        <v>-14000</v>
      </c>
      <c r="V45" s="116">
        <f t="shared" si="7"/>
        <v>129</v>
      </c>
    </row>
    <row r="46" spans="1:22" ht="15">
      <c r="A46" s="180" t="s">
        <v>635</v>
      </c>
      <c r="B46" s="181">
        <v>43466</v>
      </c>
      <c r="C46" s="180" t="s">
        <v>636</v>
      </c>
      <c r="D46" s="182">
        <v>420</v>
      </c>
      <c r="F46" s="180"/>
      <c r="K46" s="181">
        <v>43566</v>
      </c>
      <c r="M46" s="183">
        <f t="shared" si="0"/>
        <v>43571</v>
      </c>
      <c r="N46" s="181">
        <v>43571</v>
      </c>
      <c r="O46" s="10">
        <f t="shared" si="1"/>
        <v>-5</v>
      </c>
      <c r="P46" s="10">
        <f t="shared" si="2"/>
        <v>0</v>
      </c>
      <c r="Q46" s="10">
        <f t="shared" si="3"/>
        <v>5</v>
      </c>
      <c r="R46" s="10">
        <f t="shared" si="4"/>
        <v>-25</v>
      </c>
      <c r="S46" s="2">
        <v>29</v>
      </c>
      <c r="T46" s="8">
        <f t="shared" si="5"/>
        <v>0</v>
      </c>
      <c r="U46" s="8">
        <f t="shared" si="6"/>
        <v>-10500</v>
      </c>
      <c r="V46" s="116">
        <f t="shared" si="7"/>
        <v>129</v>
      </c>
    </row>
    <row r="47" spans="1:22" ht="15">
      <c r="A47" s="180" t="s">
        <v>637</v>
      </c>
      <c r="B47" s="181">
        <v>43466</v>
      </c>
      <c r="C47" s="180" t="s">
        <v>638</v>
      </c>
      <c r="D47" s="182">
        <v>350</v>
      </c>
      <c r="F47" s="180"/>
      <c r="K47" s="181">
        <v>43566</v>
      </c>
      <c r="M47" s="183">
        <f t="shared" si="0"/>
        <v>43571</v>
      </c>
      <c r="N47" s="181">
        <v>43571</v>
      </c>
      <c r="O47" s="10">
        <f t="shared" si="1"/>
        <v>-5</v>
      </c>
      <c r="P47" s="10">
        <f t="shared" si="2"/>
        <v>0</v>
      </c>
      <c r="Q47" s="10">
        <f t="shared" si="3"/>
        <v>5</v>
      </c>
      <c r="R47" s="10">
        <f t="shared" si="4"/>
        <v>-25</v>
      </c>
      <c r="S47" s="2">
        <v>29</v>
      </c>
      <c r="T47" s="8">
        <f t="shared" si="5"/>
        <v>0</v>
      </c>
      <c r="U47" s="8">
        <f t="shared" si="6"/>
        <v>-8750</v>
      </c>
      <c r="V47" s="116">
        <f t="shared" si="7"/>
        <v>129</v>
      </c>
    </row>
    <row r="48" spans="1:22" ht="15">
      <c r="A48" s="180" t="s">
        <v>639</v>
      </c>
      <c r="B48" s="181">
        <v>43466</v>
      </c>
      <c r="C48" s="180" t="s">
        <v>640</v>
      </c>
      <c r="D48" s="182">
        <v>525</v>
      </c>
      <c r="F48" s="180"/>
      <c r="K48" s="181">
        <v>43566</v>
      </c>
      <c r="M48" s="183">
        <f t="shared" si="0"/>
        <v>43571</v>
      </c>
      <c r="N48" s="181">
        <v>43571</v>
      </c>
      <c r="O48" s="10">
        <f t="shared" si="1"/>
        <v>-5</v>
      </c>
      <c r="P48" s="10">
        <f t="shared" si="2"/>
        <v>0</v>
      </c>
      <c r="Q48" s="10">
        <f t="shared" si="3"/>
        <v>5</v>
      </c>
      <c r="R48" s="10">
        <f t="shared" si="4"/>
        <v>-25</v>
      </c>
      <c r="S48" s="2">
        <v>29</v>
      </c>
      <c r="T48" s="8">
        <f t="shared" si="5"/>
        <v>0</v>
      </c>
      <c r="U48" s="8">
        <f t="shared" si="6"/>
        <v>-13125</v>
      </c>
      <c r="V48" s="116">
        <f t="shared" si="7"/>
        <v>129</v>
      </c>
    </row>
    <row r="49" spans="1:22" ht="15">
      <c r="A49" s="180" t="s">
        <v>641</v>
      </c>
      <c r="B49" s="181">
        <v>43554</v>
      </c>
      <c r="C49" s="180" t="s">
        <v>642</v>
      </c>
      <c r="D49" s="182">
        <v>2879.8</v>
      </c>
      <c r="F49" s="180"/>
      <c r="K49" s="181">
        <v>43566</v>
      </c>
      <c r="M49" s="183">
        <f t="shared" si="0"/>
        <v>43570</v>
      </c>
      <c r="N49" s="181">
        <v>43570</v>
      </c>
      <c r="O49" s="10">
        <f t="shared" si="1"/>
        <v>-4</v>
      </c>
      <c r="P49" s="10">
        <f t="shared" si="2"/>
        <v>0</v>
      </c>
      <c r="Q49" s="10">
        <f t="shared" si="3"/>
        <v>4</v>
      </c>
      <c r="R49" s="10">
        <f t="shared" si="4"/>
        <v>-26</v>
      </c>
      <c r="S49" s="2">
        <v>29</v>
      </c>
      <c r="T49" s="8">
        <f t="shared" si="5"/>
        <v>0</v>
      </c>
      <c r="U49" s="8">
        <f t="shared" si="6"/>
        <v>-74874.8</v>
      </c>
      <c r="V49" s="116">
        <f t="shared" si="7"/>
        <v>129</v>
      </c>
    </row>
    <row r="50" spans="1:22" ht="15">
      <c r="A50" s="180" t="s">
        <v>643</v>
      </c>
      <c r="B50" s="181">
        <v>43555</v>
      </c>
      <c r="C50" s="180" t="s">
        <v>644</v>
      </c>
      <c r="D50" s="182">
        <v>235.96</v>
      </c>
      <c r="F50" s="180"/>
      <c r="K50" s="181">
        <v>43566</v>
      </c>
      <c r="M50" s="183">
        <f t="shared" si="0"/>
        <v>43570</v>
      </c>
      <c r="N50" s="181">
        <v>43570</v>
      </c>
      <c r="O50" s="10">
        <f t="shared" si="1"/>
        <v>-4</v>
      </c>
      <c r="P50" s="10">
        <f t="shared" si="2"/>
        <v>0</v>
      </c>
      <c r="Q50" s="10">
        <f t="shared" si="3"/>
        <v>4</v>
      </c>
      <c r="R50" s="10">
        <f t="shared" si="4"/>
        <v>-26</v>
      </c>
      <c r="S50" s="2">
        <v>29</v>
      </c>
      <c r="T50" s="8">
        <f t="shared" si="5"/>
        <v>0</v>
      </c>
      <c r="U50" s="8">
        <f t="shared" si="6"/>
        <v>-6134.96</v>
      </c>
      <c r="V50" s="116">
        <f t="shared" si="7"/>
        <v>129</v>
      </c>
    </row>
    <row r="51" spans="1:22" ht="15">
      <c r="A51" s="180" t="s">
        <v>645</v>
      </c>
      <c r="B51" s="181">
        <v>43555</v>
      </c>
      <c r="C51" s="180" t="s">
        <v>646</v>
      </c>
      <c r="D51" s="182">
        <v>167.63</v>
      </c>
      <c r="F51" s="180"/>
      <c r="K51" s="181">
        <v>43566</v>
      </c>
      <c r="M51" s="183">
        <f t="shared" si="0"/>
        <v>43570</v>
      </c>
      <c r="N51" s="181">
        <v>43570</v>
      </c>
      <c r="O51" s="10">
        <f t="shared" si="1"/>
        <v>-4</v>
      </c>
      <c r="P51" s="10">
        <f t="shared" si="2"/>
        <v>0</v>
      </c>
      <c r="Q51" s="10">
        <f t="shared" si="3"/>
        <v>4</v>
      </c>
      <c r="R51" s="10">
        <f t="shared" si="4"/>
        <v>-26</v>
      </c>
      <c r="S51" s="2">
        <v>29</v>
      </c>
      <c r="T51" s="8">
        <f t="shared" si="5"/>
        <v>0</v>
      </c>
      <c r="U51" s="8">
        <f t="shared" si="6"/>
        <v>-4358.38</v>
      </c>
      <c r="V51" s="116">
        <f t="shared" si="7"/>
        <v>129</v>
      </c>
    </row>
    <row r="52" spans="1:22" ht="15">
      <c r="A52" s="180" t="s">
        <v>647</v>
      </c>
      <c r="B52" s="181">
        <v>43555</v>
      </c>
      <c r="C52" s="180" t="s">
        <v>648</v>
      </c>
      <c r="D52" s="182">
        <v>201.95</v>
      </c>
      <c r="F52" s="180"/>
      <c r="K52" s="181">
        <v>43566</v>
      </c>
      <c r="M52" s="183">
        <f t="shared" si="0"/>
        <v>43570</v>
      </c>
      <c r="N52" s="181">
        <v>43570</v>
      </c>
      <c r="O52" s="10">
        <f t="shared" si="1"/>
        <v>-4</v>
      </c>
      <c r="P52" s="10">
        <f t="shared" si="2"/>
        <v>0</v>
      </c>
      <c r="Q52" s="10">
        <f t="shared" si="3"/>
        <v>4</v>
      </c>
      <c r="R52" s="10">
        <f t="shared" si="4"/>
        <v>-26</v>
      </c>
      <c r="S52" s="2">
        <v>29</v>
      </c>
      <c r="T52" s="8">
        <f t="shared" si="5"/>
        <v>0</v>
      </c>
      <c r="U52" s="8">
        <f t="shared" si="6"/>
        <v>-5250.7</v>
      </c>
      <c r="V52" s="116">
        <f t="shared" si="7"/>
        <v>129</v>
      </c>
    </row>
    <row r="53" spans="1:22" ht="15">
      <c r="A53" s="180" t="s">
        <v>649</v>
      </c>
      <c r="B53" s="181">
        <v>43515</v>
      </c>
      <c r="C53" s="180" t="s">
        <v>650</v>
      </c>
      <c r="D53" s="182">
        <v>583.55</v>
      </c>
      <c r="F53" s="180"/>
      <c r="K53" s="181">
        <v>43567</v>
      </c>
      <c r="M53" s="183">
        <f t="shared" si="0"/>
        <v>43525</v>
      </c>
      <c r="N53" s="181">
        <v>43525</v>
      </c>
      <c r="O53" s="10">
        <f t="shared" si="1"/>
        <v>42</v>
      </c>
      <c r="P53" s="10">
        <f t="shared" si="2"/>
        <v>0</v>
      </c>
      <c r="Q53" s="10">
        <f t="shared" si="3"/>
        <v>-42</v>
      </c>
      <c r="R53" s="10">
        <f t="shared" si="4"/>
        <v>-72</v>
      </c>
      <c r="S53" s="2">
        <v>21</v>
      </c>
      <c r="T53" s="8">
        <f t="shared" si="5"/>
        <v>0</v>
      </c>
      <c r="U53" s="8">
        <f t="shared" si="6"/>
        <v>-42015.6</v>
      </c>
      <c r="V53" s="116">
        <f t="shared" si="7"/>
        <v>121</v>
      </c>
    </row>
    <row r="54" spans="1:22" ht="15">
      <c r="A54" s="180" t="s">
        <v>651</v>
      </c>
      <c r="B54" s="181">
        <v>43553</v>
      </c>
      <c r="C54" s="180" t="s">
        <v>652</v>
      </c>
      <c r="D54" s="182">
        <v>6527.04</v>
      </c>
      <c r="F54" s="180"/>
      <c r="K54" s="181">
        <v>43567</v>
      </c>
      <c r="M54" s="183">
        <f t="shared" si="0"/>
        <v>43583</v>
      </c>
      <c r="N54" s="181">
        <v>43583</v>
      </c>
      <c r="O54" s="10">
        <f t="shared" si="1"/>
        <v>-16</v>
      </c>
      <c r="P54" s="10">
        <f t="shared" si="2"/>
        <v>0</v>
      </c>
      <c r="Q54" s="10">
        <f t="shared" si="3"/>
        <v>16</v>
      </c>
      <c r="R54" s="10">
        <f t="shared" si="4"/>
        <v>-14</v>
      </c>
      <c r="S54" s="2">
        <v>29</v>
      </c>
      <c r="T54" s="8">
        <f t="shared" si="5"/>
        <v>0</v>
      </c>
      <c r="U54" s="8">
        <f t="shared" si="6"/>
        <v>-91378.56</v>
      </c>
      <c r="V54" s="116">
        <f t="shared" si="7"/>
        <v>129</v>
      </c>
    </row>
    <row r="55" spans="1:22" ht="15">
      <c r="A55" s="180" t="s">
        <v>653</v>
      </c>
      <c r="B55" s="181">
        <v>43539</v>
      </c>
      <c r="C55" s="180" t="s">
        <v>654</v>
      </c>
      <c r="D55" s="182">
        <v>4.07</v>
      </c>
      <c r="F55" s="180"/>
      <c r="K55" s="181">
        <v>43567</v>
      </c>
      <c r="M55" s="183">
        <f t="shared" si="0"/>
        <v>43570</v>
      </c>
      <c r="N55" s="181">
        <v>43570</v>
      </c>
      <c r="O55" s="10">
        <f t="shared" si="1"/>
        <v>-3</v>
      </c>
      <c r="P55" s="10">
        <f t="shared" si="2"/>
        <v>0</v>
      </c>
      <c r="Q55" s="10">
        <f t="shared" si="3"/>
        <v>3</v>
      </c>
      <c r="R55" s="10">
        <f t="shared" si="4"/>
        <v>-27</v>
      </c>
      <c r="S55" s="2">
        <v>22</v>
      </c>
      <c r="T55" s="8">
        <f t="shared" si="5"/>
        <v>0</v>
      </c>
      <c r="U55" s="8">
        <f t="shared" si="6"/>
        <v>-109.89000000000001</v>
      </c>
      <c r="V55" s="116">
        <f t="shared" si="7"/>
        <v>122</v>
      </c>
    </row>
    <row r="56" spans="1:22" ht="15">
      <c r="A56" s="180" t="s">
        <v>655</v>
      </c>
      <c r="B56" s="181">
        <v>43555</v>
      </c>
      <c r="C56" s="180" t="s">
        <v>656</v>
      </c>
      <c r="D56" s="182">
        <v>6693.5</v>
      </c>
      <c r="F56" s="180"/>
      <c r="K56" s="181">
        <v>43567</v>
      </c>
      <c r="M56" s="183">
        <f t="shared" si="0"/>
        <v>43570</v>
      </c>
      <c r="N56" s="181">
        <v>43570</v>
      </c>
      <c r="O56" s="10">
        <f t="shared" si="1"/>
        <v>-3</v>
      </c>
      <c r="P56" s="10">
        <f t="shared" si="2"/>
        <v>0</v>
      </c>
      <c r="Q56" s="10">
        <f t="shared" si="3"/>
        <v>3</v>
      </c>
      <c r="R56" s="10">
        <f t="shared" si="4"/>
        <v>-27</v>
      </c>
      <c r="S56" s="2">
        <v>29</v>
      </c>
      <c r="T56" s="8">
        <f t="shared" si="5"/>
        <v>0</v>
      </c>
      <c r="U56" s="8">
        <f t="shared" si="6"/>
        <v>-180724.5</v>
      </c>
      <c r="V56" s="116">
        <f t="shared" si="7"/>
        <v>129</v>
      </c>
    </row>
    <row r="57" spans="1:22" ht="15">
      <c r="A57" s="180" t="s">
        <v>657</v>
      </c>
      <c r="B57" s="181">
        <v>43536</v>
      </c>
      <c r="C57" s="180" t="s">
        <v>658</v>
      </c>
      <c r="D57" s="182">
        <v>242</v>
      </c>
      <c r="F57" s="180"/>
      <c r="K57" s="181">
        <v>43570</v>
      </c>
      <c r="M57" s="183">
        <f t="shared" si="0"/>
        <v>43570</v>
      </c>
      <c r="N57" s="181">
        <v>43570</v>
      </c>
      <c r="O57" s="10">
        <f t="shared" si="1"/>
        <v>0</v>
      </c>
      <c r="P57" s="10">
        <f t="shared" si="2"/>
        <v>0</v>
      </c>
      <c r="Q57" s="10">
        <f t="shared" si="3"/>
        <v>0</v>
      </c>
      <c r="R57" s="10">
        <f t="shared" si="4"/>
        <v>-30</v>
      </c>
      <c r="S57" s="2">
        <v>21</v>
      </c>
      <c r="T57" s="8">
        <f t="shared" si="5"/>
        <v>0</v>
      </c>
      <c r="U57" s="8">
        <f t="shared" si="6"/>
        <v>-7260</v>
      </c>
      <c r="V57" s="116">
        <f t="shared" si="7"/>
        <v>121</v>
      </c>
    </row>
    <row r="58" spans="1:22" ht="15">
      <c r="A58" s="180" t="s">
        <v>659</v>
      </c>
      <c r="B58" s="181">
        <v>43555</v>
      </c>
      <c r="C58" s="180" t="s">
        <v>660</v>
      </c>
      <c r="D58" s="182">
        <v>505.43</v>
      </c>
      <c r="F58" s="180"/>
      <c r="K58" s="181">
        <v>43571</v>
      </c>
      <c r="M58" s="183">
        <f t="shared" si="0"/>
        <v>43585</v>
      </c>
      <c r="N58" s="181">
        <v>43585</v>
      </c>
      <c r="O58" s="10">
        <f t="shared" si="1"/>
        <v>-14</v>
      </c>
      <c r="P58" s="10">
        <f t="shared" si="2"/>
        <v>0</v>
      </c>
      <c r="Q58" s="10">
        <f t="shared" si="3"/>
        <v>14</v>
      </c>
      <c r="R58" s="10">
        <f t="shared" si="4"/>
        <v>-16</v>
      </c>
      <c r="S58" s="2">
        <v>29</v>
      </c>
      <c r="T58" s="8">
        <f t="shared" si="5"/>
        <v>0</v>
      </c>
      <c r="U58" s="8">
        <f t="shared" si="6"/>
        <v>-8086.88</v>
      </c>
      <c r="V58" s="116">
        <f t="shared" si="7"/>
        <v>129</v>
      </c>
    </row>
    <row r="59" spans="1:22" ht="15">
      <c r="A59" s="180" t="s">
        <v>661</v>
      </c>
      <c r="B59" s="181">
        <v>43554</v>
      </c>
      <c r="C59" s="180" t="s">
        <v>662</v>
      </c>
      <c r="D59" s="182">
        <v>162.27</v>
      </c>
      <c r="F59" s="180"/>
      <c r="K59" s="181">
        <v>43571</v>
      </c>
      <c r="M59" s="183">
        <f t="shared" si="0"/>
        <v>43585</v>
      </c>
      <c r="N59" s="181">
        <v>43585</v>
      </c>
      <c r="O59" s="10">
        <f t="shared" si="1"/>
        <v>-14</v>
      </c>
      <c r="P59" s="10">
        <f t="shared" si="2"/>
        <v>0</v>
      </c>
      <c r="Q59" s="10">
        <f t="shared" si="3"/>
        <v>14</v>
      </c>
      <c r="R59" s="10">
        <f t="shared" si="4"/>
        <v>-16</v>
      </c>
      <c r="S59" s="2">
        <v>29</v>
      </c>
      <c r="T59" s="8">
        <f t="shared" si="5"/>
        <v>0</v>
      </c>
      <c r="U59" s="8">
        <f t="shared" si="6"/>
        <v>-2596.32</v>
      </c>
      <c r="V59" s="116">
        <f t="shared" si="7"/>
        <v>129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Bakartxo Villar</cp:lastModifiedBy>
  <cp:lastPrinted>2014-12-11T08:00:00Z</cp:lastPrinted>
  <dcterms:created xsi:type="dcterms:W3CDTF">2013-12-21T08:23:27Z</dcterms:created>
  <dcterms:modified xsi:type="dcterms:W3CDTF">2019-08-29T05:41:01Z</dcterms:modified>
  <cp:category/>
  <cp:version/>
  <cp:contentType/>
  <cp:contentStatus/>
</cp:coreProperties>
</file>