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1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'detalle1'!$A$3:$R$128</definedName>
    <definedName name="_xlnm.Print_Area" localSheetId="2">'detalle2'!$A$1:$R$21</definedName>
    <definedName name="_xlnm.Print_Area" localSheetId="3">'detalle32'!$A$3:$P$8</definedName>
  </definedNames>
  <calcPr fullCalcOnLoad="1"/>
</workbook>
</file>

<file path=xl/sharedStrings.xml><?xml version="1.0" encoding="utf-8"?>
<sst xmlns="http://schemas.openxmlformats.org/spreadsheetml/2006/main" count="541" uniqueCount="476">
  <si>
    <t>20 -</t>
  </si>
  <si>
    <t>21 -</t>
  </si>
  <si>
    <t>22 -</t>
  </si>
  <si>
    <t>23 -</t>
  </si>
  <si>
    <t>Inbertsio errealak</t>
  </si>
  <si>
    <t>Gastuak ondasun arruntetan eta zerbitzuetan</t>
  </si>
  <si>
    <t>Aurrekontura aplikatzeko daudenak</t>
  </si>
  <si>
    <t>2X -</t>
  </si>
  <si>
    <t>6X -</t>
  </si>
  <si>
    <t>30 egun edo gutxiago</t>
  </si>
  <si>
    <t>31 eta 60 egun bitartean</t>
  </si>
  <si>
    <t>61 eta 90 egun bitartean</t>
  </si>
  <si>
    <t>90 egun baino gehiago</t>
  </si>
  <si>
    <t>%</t>
  </si>
  <si>
    <t>* 2. eta 6. kapituluari dagozkion fakturak soilik</t>
  </si>
  <si>
    <t>Partida</t>
  </si>
  <si>
    <t>ADO-17</t>
  </si>
  <si>
    <t>ADO-12</t>
  </si>
  <si>
    <t>capit</t>
  </si>
  <si>
    <t>29 -</t>
  </si>
  <si>
    <t>Entidad local:</t>
  </si>
  <si>
    <t>OARSOALDEA</t>
  </si>
  <si>
    <t>1. Pagos realizados en el trimestre. Plazo desde el reconocimiento de la obligación.</t>
  </si>
  <si>
    <t>1.1. Por clasificación económica.</t>
  </si>
  <si>
    <t>Pagos en el trimestre</t>
  </si>
  <si>
    <t>Plazo de pago</t>
  </si>
  <si>
    <t>(promedio de días)</t>
  </si>
  <si>
    <t>Total</t>
  </si>
  <si>
    <t>De las de fuera de plazo</t>
  </si>
  <si>
    <t>Pagos realizados en el trimestre</t>
  </si>
  <si>
    <t>Dentro del plazo legal</t>
  </si>
  <si>
    <t>Fuera del plazo legal</t>
  </si>
  <si>
    <t>Número de pagos</t>
  </si>
  <si>
    <t>Importe total</t>
  </si>
  <si>
    <t>Gasto en bienes corrientes y servicios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</si>
  <si>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</si>
  <si>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</si>
  <si>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</si>
  <si>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</si>
  <si>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</si>
  <si>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realez</t>
  </si>
  <si>
    <t>Pagos pendientes de aplicar al presupuesto*</t>
  </si>
  <si>
    <t>Pagos pendientes de aplicar al presupuesto</t>
  </si>
  <si>
    <t>sólo facturas correspondientes a capitulos 2 y 6</t>
  </si>
  <si>
    <t>1.2. Por plazos</t>
  </si>
  <si>
    <t>Numero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</si>
  <si>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</si>
  <si>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</si>
  <si>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</si>
  <si>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</si>
  <si>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</si>
  <si>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</si>
  <si>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2. Facturas pendientes de pago. Plazo dede el reconocimiento de la obligación</t>
  </si>
  <si>
    <t>Facturas y documentos justificativos pendientes de pago al final del trimestre</t>
  </si>
  <si>
    <t>Inversiones reales</t>
  </si>
  <si>
    <t>* sólo facturas correspondientes a capítulos 2 y 6</t>
  </si>
  <si>
    <t>Pendientes de pago al finalizar el trimestre</t>
  </si>
  <si>
    <t>Número de operaciones</t>
  </si>
  <si>
    <t>3. Facturas y documentos justificativos sin obligación reconocida al finalizar el trimestre</t>
  </si>
  <si>
    <t>3.1. Con más de tres meses desde su entrada en registro</t>
  </si>
  <si>
    <t>Facturas y documentos justificativos sin obligación reconocida pasados más de tres meses desde su registro</t>
  </si>
  <si>
    <t>Plazo (promedio de días)</t>
  </si>
  <si>
    <t>Número</t>
  </si>
  <si>
    <t>3.2. Número de días desde su entrada en registro</t>
  </si>
  <si>
    <t>Facturas y documentos justificativos sin obligación reconocida</t>
  </si>
  <si>
    <t>Facturas sin obligación reconocida</t>
  </si>
  <si>
    <t>4. Plazo medio de pago de la entidad (PMP)</t>
  </si>
  <si>
    <t>PMP del trimestre</t>
  </si>
  <si>
    <t>Operaciones pagadas</t>
  </si>
  <si>
    <t>Ratio</t>
  </si>
  <si>
    <t>Importe</t>
  </si>
  <si>
    <t>Operaciones pendientes de pago</t>
  </si>
  <si>
    <t>PMP</t>
  </si>
  <si>
    <t>Observaciones sobre el PMP:</t>
  </si>
  <si>
    <t>INFORMACION SOBRE PLAZOS DE PAGO</t>
  </si>
  <si>
    <t>Ejercicio:</t>
  </si>
  <si>
    <t>Trimestre:</t>
  </si>
  <si>
    <t>optativos</t>
  </si>
  <si>
    <t>obligatorios</t>
  </si>
  <si>
    <t>Facturas pagadas en el trimestre</t>
  </si>
  <si>
    <t>Número expediente</t>
  </si>
  <si>
    <t>Fecha factura</t>
  </si>
  <si>
    <t>Número fra</t>
  </si>
  <si>
    <t>Código.
Tercero</t>
  </si>
  <si>
    <t>Tercero</t>
  </si>
  <si>
    <t>Concepto</t>
  </si>
  <si>
    <t>Fecha registro</t>
  </si>
  <si>
    <t>aceptación</t>
  </si>
  <si>
    <t>pago</t>
  </si>
  <si>
    <t>Fecha descent.</t>
  </si>
  <si>
    <t>Fecha O</t>
  </si>
  <si>
    <t>Fecha P</t>
  </si>
  <si>
    <t>Plazp R
 O</t>
  </si>
  <si>
    <t>Plazo
 O-P</t>
  </si>
  <si>
    <t>Plazo
 R-P</t>
  </si>
  <si>
    <t>Artíc.</t>
  </si>
  <si>
    <t>ponderación 1</t>
  </si>
  <si>
    <t>ponderación 2</t>
  </si>
  <si>
    <t>En plazo</t>
  </si>
  <si>
    <t>ESTO NO RELLENAR</t>
  </si>
  <si>
    <t>Facturas que en el trimestre se han quedado sin pagar (hechas O)</t>
  </si>
  <si>
    <t>Número
 expediente</t>
  </si>
  <si>
    <t>Fecha fra</t>
  </si>
  <si>
    <t>Código
tercero</t>
  </si>
  <si>
    <t>Fecha
 registro</t>
  </si>
  <si>
    <t>Fecha
 Descent.</t>
  </si>
  <si>
    <t>Plazo R-O</t>
  </si>
  <si>
    <t>Plazo
 O
 - fin trim.</t>
  </si>
  <si>
    <t>Plazo
 R 
 - fin trim</t>
  </si>
  <si>
    <t>Fin Trim.</t>
  </si>
  <si>
    <t>optativas</t>
  </si>
  <si>
    <t>obligatorias</t>
  </si>
  <si>
    <t>Facturas que en el trimestre se han quedado sin O</t>
  </si>
  <si>
    <t>Plazo
 R-fin trim</t>
  </si>
  <si>
    <t>Fin trim.</t>
  </si>
  <si>
    <t>2º trimestre</t>
  </si>
  <si>
    <t>FCC1600004</t>
  </si>
  <si>
    <t>4/2016</t>
  </si>
  <si>
    <t>FCC1600005</t>
  </si>
  <si>
    <t>5/2016</t>
  </si>
  <si>
    <t>FCC1600006</t>
  </si>
  <si>
    <t>FCC1600011</t>
  </si>
  <si>
    <t>FCC1600012</t>
  </si>
  <si>
    <t>FCC1600013</t>
  </si>
  <si>
    <t>6/2016</t>
  </si>
  <si>
    <t>FCC1600194</t>
  </si>
  <si>
    <t>1604C0582231</t>
  </si>
  <si>
    <t>FCC1600210</t>
  </si>
  <si>
    <t>20160406010138221</t>
  </si>
  <si>
    <t>FCC1600211</t>
  </si>
  <si>
    <t>F016511</t>
  </si>
  <si>
    <t>FCC1600212</t>
  </si>
  <si>
    <t>20160406010044875</t>
  </si>
  <si>
    <t>FCC1600213</t>
  </si>
  <si>
    <t>20160406010043776</t>
  </si>
  <si>
    <t>FCC1600214</t>
  </si>
  <si>
    <t>20160406010062518</t>
  </si>
  <si>
    <t>FCC1600217</t>
  </si>
  <si>
    <t>16/A-019</t>
  </si>
  <si>
    <t>FCC1600218</t>
  </si>
  <si>
    <t>FCC1600219</t>
  </si>
  <si>
    <t>01K6EK8</t>
  </si>
  <si>
    <t>01K5ZW8</t>
  </si>
  <si>
    <t>FCC1600220</t>
  </si>
  <si>
    <t>FCC1600221</t>
  </si>
  <si>
    <t>01K5ZW6</t>
  </si>
  <si>
    <t>01K5ZW4</t>
  </si>
  <si>
    <t>FCC1600222</t>
  </si>
  <si>
    <t>01K5ZW2</t>
  </si>
  <si>
    <t>FCC1600225</t>
  </si>
  <si>
    <t>FLL AWB09120</t>
  </si>
  <si>
    <t>FCC1600226</t>
  </si>
  <si>
    <t>28-D680-861922</t>
  </si>
  <si>
    <t>FCC1600237</t>
  </si>
  <si>
    <t>2016041301228060</t>
  </si>
  <si>
    <t>FCC1600239</t>
  </si>
  <si>
    <t>FCC1600240</t>
  </si>
  <si>
    <t>FCC1600241</t>
  </si>
  <si>
    <t>1126/16</t>
  </si>
  <si>
    <t>1125/16</t>
  </si>
  <si>
    <t>010-16</t>
  </si>
  <si>
    <t>FCC1600244</t>
  </si>
  <si>
    <t>FCC1600245</t>
  </si>
  <si>
    <t>20160415010007541</t>
  </si>
  <si>
    <t>58</t>
  </si>
  <si>
    <t>FCC1600247</t>
  </si>
  <si>
    <t>497</t>
  </si>
  <si>
    <t>FCC1600248</t>
  </si>
  <si>
    <t>AY6587</t>
  </si>
  <si>
    <t>FCC1600249</t>
  </si>
  <si>
    <t>TK16000968</t>
  </si>
  <si>
    <t>FCC1600250</t>
  </si>
  <si>
    <t>20160415010007385</t>
  </si>
  <si>
    <t>FCC1600251</t>
  </si>
  <si>
    <t>20160415010007384</t>
  </si>
  <si>
    <t>FCC1600252</t>
  </si>
  <si>
    <t>2016/1803</t>
  </si>
  <si>
    <t>FCC1600253</t>
  </si>
  <si>
    <t>FCC1600254</t>
  </si>
  <si>
    <t>2016/1804</t>
  </si>
  <si>
    <t>2016/1805</t>
  </si>
  <si>
    <t>FCC1600262</t>
  </si>
  <si>
    <t>A20270</t>
  </si>
  <si>
    <t>FCC1600263</t>
  </si>
  <si>
    <t>DV-FACTURA/2016/0044</t>
  </si>
  <si>
    <t>FCC1600264</t>
  </si>
  <si>
    <t>FCC1600265</t>
  </si>
  <si>
    <t>FCC1600266</t>
  </si>
  <si>
    <t>SA4360</t>
  </si>
  <si>
    <t>13724</t>
  </si>
  <si>
    <t>276009995</t>
  </si>
  <si>
    <t>FCC1600267</t>
  </si>
  <si>
    <t>470/2016</t>
  </si>
  <si>
    <t>FCC1600268</t>
  </si>
  <si>
    <t>477/2016</t>
  </si>
  <si>
    <t>FCC1600271</t>
  </si>
  <si>
    <t>C00279/2016</t>
  </si>
  <si>
    <t>FCC1600272</t>
  </si>
  <si>
    <t>FCC1600273</t>
  </si>
  <si>
    <t>FCC1600274</t>
  </si>
  <si>
    <t>FCC1600275</t>
  </si>
  <si>
    <t>1830</t>
  </si>
  <si>
    <t>16146</t>
  </si>
  <si>
    <t>16117</t>
  </si>
  <si>
    <t>16-S-1045</t>
  </si>
  <si>
    <t>FCC1600279</t>
  </si>
  <si>
    <t>A20394</t>
  </si>
  <si>
    <t>FCC1600280</t>
  </si>
  <si>
    <t>FCC1600281</t>
  </si>
  <si>
    <t>16/A-028</t>
  </si>
  <si>
    <t>161271</t>
  </si>
  <si>
    <t>FCC1600282</t>
  </si>
  <si>
    <t>FCC1600283</t>
  </si>
  <si>
    <t>20160277</t>
  </si>
  <si>
    <t>6</t>
  </si>
  <si>
    <t>FCC1600284</t>
  </si>
  <si>
    <t>FCC1600285</t>
  </si>
  <si>
    <t>FCC1600286</t>
  </si>
  <si>
    <t>20160266</t>
  </si>
  <si>
    <t>162997</t>
  </si>
  <si>
    <t>2138</t>
  </si>
  <si>
    <t>FCC1600287</t>
  </si>
  <si>
    <t>FCC1600288</t>
  </si>
  <si>
    <t>10/2016</t>
  </si>
  <si>
    <t>05-2016</t>
  </si>
  <si>
    <t>FCC1600289</t>
  </si>
  <si>
    <t>20160513010005769</t>
  </si>
  <si>
    <t>FCC1600290</t>
  </si>
  <si>
    <t>FCC1600291</t>
  </si>
  <si>
    <t>SI201606612</t>
  </si>
  <si>
    <t>362348</t>
  </si>
  <si>
    <t>FCC1600292</t>
  </si>
  <si>
    <t>FCC1600278</t>
  </si>
  <si>
    <t>7250116201</t>
  </si>
  <si>
    <t>502/2016</t>
  </si>
  <si>
    <t>FCC1600293</t>
  </si>
  <si>
    <t>I-160998</t>
  </si>
  <si>
    <t>FCC1600294</t>
  </si>
  <si>
    <t>1605C0658659</t>
  </si>
  <si>
    <t>FCC1600295</t>
  </si>
  <si>
    <t>FCC1600296</t>
  </si>
  <si>
    <t>252/16</t>
  </si>
  <si>
    <t>147/16/GIP</t>
  </si>
  <si>
    <t>FCC1600297</t>
  </si>
  <si>
    <t>16142</t>
  </si>
  <si>
    <t>FCC1600298</t>
  </si>
  <si>
    <t>FCC1600299</t>
  </si>
  <si>
    <t>FCC1600300</t>
  </si>
  <si>
    <t>16/0055</t>
  </si>
  <si>
    <t>20160413010003731</t>
  </si>
  <si>
    <t>7250116200</t>
  </si>
  <si>
    <t>FCC1600301</t>
  </si>
  <si>
    <t>1F011616</t>
  </si>
  <si>
    <t>FCC1600302</t>
  </si>
  <si>
    <t>FCC1600303</t>
  </si>
  <si>
    <t>FCC1600304</t>
  </si>
  <si>
    <t>1F011516</t>
  </si>
  <si>
    <t>2096</t>
  </si>
  <si>
    <t>7250116202</t>
  </si>
  <si>
    <t>FCC1600305</t>
  </si>
  <si>
    <t>FCC1600306</t>
  </si>
  <si>
    <t>FCC1600307</t>
  </si>
  <si>
    <t>20160513010005590</t>
  </si>
  <si>
    <t>20160513010299407</t>
  </si>
  <si>
    <t>7250116203</t>
  </si>
  <si>
    <t>FCC1600308</t>
  </si>
  <si>
    <t>20160512010005099</t>
  </si>
  <si>
    <t>FCC1600309</t>
  </si>
  <si>
    <t>160684</t>
  </si>
  <si>
    <t>FCC1600314</t>
  </si>
  <si>
    <t>1324</t>
  </si>
  <si>
    <t>FCC1600315</t>
  </si>
  <si>
    <t>BE-085</t>
  </si>
  <si>
    <t>FCC1600316</t>
  </si>
  <si>
    <t>16/A-027</t>
  </si>
  <si>
    <t>FCC1600317</t>
  </si>
  <si>
    <t>FCC1600318</t>
  </si>
  <si>
    <t>16/A-029</t>
  </si>
  <si>
    <t>BA6663</t>
  </si>
  <si>
    <t>FCC1600321</t>
  </si>
  <si>
    <t>1000176</t>
  </si>
  <si>
    <t>FCC1600322</t>
  </si>
  <si>
    <t>20160513010005592</t>
  </si>
  <si>
    <t>FCC1600323</t>
  </si>
  <si>
    <t>28-E680-843687</t>
  </si>
  <si>
    <t>FCC1600324</t>
  </si>
  <si>
    <t>FCC1600325</t>
  </si>
  <si>
    <t>FCC1600326</t>
  </si>
  <si>
    <t>FCC1600327</t>
  </si>
  <si>
    <t>20160415010007386</t>
  </si>
  <si>
    <t>TA5A50100423</t>
  </si>
  <si>
    <t>TA56B0098037</t>
  </si>
  <si>
    <t>BE-077</t>
  </si>
  <si>
    <t>FCC1600329</t>
  </si>
  <si>
    <t>21-16</t>
  </si>
  <si>
    <t>FCC1600330</t>
  </si>
  <si>
    <t>FCC1600331</t>
  </si>
  <si>
    <t>FCC1600332</t>
  </si>
  <si>
    <t>FCC1600333</t>
  </si>
  <si>
    <t>G-12753</t>
  </si>
  <si>
    <t>552/2016</t>
  </si>
  <si>
    <t>A/001252</t>
  </si>
  <si>
    <t>20160527010164158</t>
  </si>
  <si>
    <t>FCC1600334</t>
  </si>
  <si>
    <t>FCC1600335</t>
  </si>
  <si>
    <t>20160527010256892</t>
  </si>
  <si>
    <t>TA6001315</t>
  </si>
  <si>
    <t>FCC1600338</t>
  </si>
  <si>
    <t>210/16/GP</t>
  </si>
  <si>
    <t>FCC1600339</t>
  </si>
  <si>
    <t>FCC1600340</t>
  </si>
  <si>
    <t>FCC1600341</t>
  </si>
  <si>
    <t>FCC1600342</t>
  </si>
  <si>
    <t>20160531010373659</t>
  </si>
  <si>
    <t>20160531010373661</t>
  </si>
  <si>
    <t>20160530010123041</t>
  </si>
  <si>
    <t>20160530010127441</t>
  </si>
  <si>
    <t>FCC1600343</t>
  </si>
  <si>
    <t>20160531010373657</t>
  </si>
  <si>
    <t>BB7639</t>
  </si>
  <si>
    <t>362978</t>
  </si>
  <si>
    <t>958540</t>
  </si>
  <si>
    <t>00 00000099</t>
  </si>
  <si>
    <t>FCC1600349</t>
  </si>
  <si>
    <t>00 00000096</t>
  </si>
  <si>
    <t>P21-16-0167</t>
  </si>
  <si>
    <t>FCC1600350</t>
  </si>
  <si>
    <t>161462</t>
  </si>
  <si>
    <t>FCC1600351</t>
  </si>
  <si>
    <t>FCC1600352</t>
  </si>
  <si>
    <t>433160/1</t>
  </si>
  <si>
    <t>FCC1600353</t>
  </si>
  <si>
    <t>FCC1600354</t>
  </si>
  <si>
    <t>FCC1600355</t>
  </si>
  <si>
    <t>16/0120</t>
  </si>
  <si>
    <t>583660</t>
  </si>
  <si>
    <t>604268</t>
  </si>
  <si>
    <t>FCC1600356</t>
  </si>
  <si>
    <t>B/1298850</t>
  </si>
  <si>
    <t>FCC1600357</t>
  </si>
  <si>
    <t>FCC1600358</t>
  </si>
  <si>
    <t>FCC1600359</t>
  </si>
  <si>
    <t>12016526419</t>
  </si>
  <si>
    <t>49213</t>
  </si>
  <si>
    <t>CI16151-999</t>
  </si>
  <si>
    <t>FCC1600360</t>
  </si>
  <si>
    <t>FCC1600361</t>
  </si>
  <si>
    <t>A6001227109</t>
  </si>
  <si>
    <t>FLL AWB42703</t>
  </si>
  <si>
    <t>FCC1600362</t>
  </si>
  <si>
    <t>FCC1600363</t>
  </si>
  <si>
    <t>FCC1600364</t>
  </si>
  <si>
    <t>28-F680-831216</t>
  </si>
  <si>
    <t>FLL AWB90167</t>
  </si>
  <si>
    <t>0616035</t>
  </si>
  <si>
    <t>FCC1600365</t>
  </si>
  <si>
    <t>01KQCJF</t>
  </si>
  <si>
    <t>FCC1600366</t>
  </si>
  <si>
    <t>FCC1600367</t>
  </si>
  <si>
    <t>FCC1600368</t>
  </si>
  <si>
    <t>FCC1600369</t>
  </si>
  <si>
    <t>01KOD00</t>
  </si>
  <si>
    <t>01KQCJH</t>
  </si>
  <si>
    <t>01KQCJJ</t>
  </si>
  <si>
    <t>S 58</t>
  </si>
  <si>
    <t>FCC1600370</t>
  </si>
  <si>
    <t>FCC1600371</t>
  </si>
  <si>
    <t>S 60</t>
  </si>
  <si>
    <t>S 59</t>
  </si>
  <si>
    <t>FCC1600372</t>
  </si>
  <si>
    <t>FCC1600373</t>
  </si>
  <si>
    <t>FCC1600374</t>
  </si>
  <si>
    <t>FCC1600375</t>
  </si>
  <si>
    <t>16059</t>
  </si>
  <si>
    <t>160405036/01837</t>
  </si>
  <si>
    <t>16/A-031</t>
  </si>
  <si>
    <t>FCC1600376</t>
  </si>
  <si>
    <t>FCC1600377</t>
  </si>
  <si>
    <t>00 00000097</t>
  </si>
  <si>
    <t>00 00000098</t>
  </si>
  <si>
    <t>FCC1600378</t>
  </si>
  <si>
    <t>FCC1600379</t>
  </si>
  <si>
    <t>FCC1600380</t>
  </si>
  <si>
    <t>1606C0613119</t>
  </si>
  <si>
    <t>01KFK01</t>
  </si>
  <si>
    <t>01KFK03</t>
  </si>
  <si>
    <t>FCC1600381</t>
  </si>
  <si>
    <t>FCC1600382</t>
  </si>
  <si>
    <t>01KQCJD</t>
  </si>
  <si>
    <t>01KFKNZ</t>
  </si>
  <si>
    <t>FCC1600383</t>
  </si>
  <si>
    <t>01KDF91</t>
  </si>
  <si>
    <t>FCC1600384</t>
  </si>
  <si>
    <t>FCC1600385</t>
  </si>
  <si>
    <t>01KFKNX</t>
  </si>
  <si>
    <t>P316/375</t>
  </si>
  <si>
    <t>FCC1600386</t>
  </si>
  <si>
    <t>FCC1600387</t>
  </si>
  <si>
    <t>20160530010132905</t>
  </si>
  <si>
    <t>20160388</t>
  </si>
  <si>
    <t>FCC1600388</t>
  </si>
  <si>
    <t>FCC1600389</t>
  </si>
  <si>
    <t>00000130</t>
  </si>
  <si>
    <t>FCC1600390</t>
  </si>
  <si>
    <t>FCC1600391</t>
  </si>
  <si>
    <t>FCC1600392</t>
  </si>
  <si>
    <t>FCC1600393</t>
  </si>
  <si>
    <t>00000131</t>
  </si>
  <si>
    <t>20160336</t>
  </si>
  <si>
    <t>7</t>
  </si>
  <si>
    <t>16-S-1340</t>
  </si>
  <si>
    <t>FCC1600394</t>
  </si>
  <si>
    <t>FCC1600395</t>
  </si>
  <si>
    <t>FCC1600396</t>
  </si>
  <si>
    <t>7250117288</t>
  </si>
  <si>
    <t>FCC1600397</t>
  </si>
  <si>
    <t>16155</t>
  </si>
  <si>
    <t>21078/2016</t>
  </si>
  <si>
    <t>FCC1600398</t>
  </si>
  <si>
    <t>25-16</t>
  </si>
  <si>
    <t>FCC1600399</t>
  </si>
  <si>
    <t>FCC1600400</t>
  </si>
  <si>
    <t>22/16</t>
  </si>
  <si>
    <t>001</t>
  </si>
  <si>
    <t>FCC1600401</t>
  </si>
  <si>
    <t>FCC1600402</t>
  </si>
  <si>
    <t>2016-1</t>
  </si>
  <si>
    <t>017/16</t>
  </si>
  <si>
    <t>FCC1600403</t>
  </si>
  <si>
    <t>FCC1600404</t>
  </si>
  <si>
    <t>FCC1600405</t>
  </si>
  <si>
    <t>FCC1600406</t>
  </si>
  <si>
    <t>FCC1600407</t>
  </si>
  <si>
    <t>002</t>
  </si>
  <si>
    <t>2016/07</t>
  </si>
  <si>
    <t>BE-096</t>
  </si>
  <si>
    <t>20160614010005203</t>
  </si>
  <si>
    <t>G-12780</t>
  </si>
  <si>
    <t>FCC1600408</t>
  </si>
  <si>
    <t>FCC1600410</t>
  </si>
  <si>
    <t>2016015010006195</t>
  </si>
  <si>
    <t>FCC1600413</t>
  </si>
  <si>
    <t>FCC1600414</t>
  </si>
  <si>
    <t>EVE/3229/18740/0</t>
  </si>
  <si>
    <t>3/160003082</t>
  </si>
  <si>
    <t>FCC1600439</t>
  </si>
  <si>
    <t>FCC1600440</t>
  </si>
  <si>
    <t>20160614010005046</t>
  </si>
  <si>
    <t>20160614010005047</t>
  </si>
  <si>
    <t>FCC1600441</t>
  </si>
  <si>
    <t>20160616010302291</t>
  </si>
  <si>
    <t>FCC1600452</t>
  </si>
  <si>
    <t>FCC1600457</t>
  </si>
  <si>
    <t>1er TRIM</t>
  </si>
  <si>
    <t>FCC1600461</t>
  </si>
  <si>
    <t>2016/1806</t>
  </si>
  <si>
    <t>FCC1600470</t>
  </si>
  <si>
    <t>TA5A60095004</t>
  </si>
  <si>
    <t>FCC1600475</t>
  </si>
  <si>
    <t>20160614010005048</t>
  </si>
  <si>
    <t>FCC1600476</t>
  </si>
  <si>
    <t>20160513010005591</t>
  </si>
  <si>
    <t>FCC1600477</t>
  </si>
  <si>
    <t>B/13291118</t>
  </si>
  <si>
    <t>FCC1600478</t>
  </si>
  <si>
    <t>201604889</t>
  </si>
  <si>
    <t>FCC1600481</t>
  </si>
  <si>
    <t>16184</t>
  </si>
  <si>
    <t>FCC1600482</t>
  </si>
  <si>
    <t>16180</t>
  </si>
  <si>
    <t>FCC1600486</t>
  </si>
  <si>
    <t>B 000001</t>
  </si>
  <si>
    <t>FCC1600487</t>
  </si>
  <si>
    <t>40347678</t>
  </si>
  <si>
    <t>FCC1600488</t>
  </si>
  <si>
    <t>60343174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</si>
</sst>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0" fillId="0" borderId="0" xfId="59" applyNumberFormat="1" applyFont="1">
      <alignment/>
      <protection/>
    </xf>
    <xf numFmtId="14" fontId="0" fillId="0" borderId="0" xfId="59" applyNumberFormat="1" applyFont="1">
      <alignment/>
      <protection/>
    </xf>
    <xf numFmtId="4" fontId="0" fillId="0" borderId="0" xfId="59" applyNumberFormat="1" applyFont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59" applyNumberFormat="1" applyFont="1" applyFill="1">
      <alignment/>
      <protection/>
    </xf>
    <xf numFmtId="14" fontId="1" fillId="0" borderId="0" xfId="58" applyNumberFormat="1" applyFont="1" applyFill="1" applyAlignment="1">
      <alignment horizontal="center" wrapText="1"/>
      <protection/>
    </xf>
    <xf numFmtId="0" fontId="0" fillId="0" borderId="0" xfId="59" applyFont="1">
      <alignment/>
      <protection/>
    </xf>
    <xf numFmtId="14" fontId="0" fillId="0" borderId="0" xfId="59" applyNumberFormat="1" applyFont="1" applyFill="1">
      <alignment/>
      <protection/>
    </xf>
    <xf numFmtId="4" fontId="0" fillId="0" borderId="0" xfId="59" applyNumberFormat="1" applyFont="1" applyFill="1">
      <alignment/>
      <protection/>
    </xf>
    <xf numFmtId="0" fontId="0" fillId="0" borderId="0" xfId="59" applyFont="1" applyFill="1">
      <alignment/>
      <protection/>
    </xf>
    <xf numFmtId="173" fontId="0" fillId="0" borderId="0" xfId="0" applyNumberFormat="1" applyFont="1" applyFill="1" applyAlignment="1">
      <alignment/>
    </xf>
    <xf numFmtId="49" fontId="0" fillId="0" borderId="0" xfId="60" applyNumberFormat="1" applyFont="1">
      <alignment/>
      <protection/>
    </xf>
    <xf numFmtId="14" fontId="0" fillId="0" borderId="0" xfId="60" applyNumberFormat="1" applyFont="1">
      <alignment/>
      <protection/>
    </xf>
    <xf numFmtId="4" fontId="0" fillId="0" borderId="0" xfId="60" applyNumberFormat="1" applyFont="1">
      <alignment/>
      <protection/>
    </xf>
    <xf numFmtId="49" fontId="0" fillId="0" borderId="0" xfId="60" applyNumberFormat="1">
      <alignment/>
      <protection/>
    </xf>
    <xf numFmtId="14" fontId="0" fillId="0" borderId="0" xfId="60" applyNumberFormat="1">
      <alignment/>
      <protection/>
    </xf>
    <xf numFmtId="4" fontId="0" fillId="0" borderId="0" xfId="60" applyNumberFormat="1">
      <alignment/>
      <protection/>
    </xf>
    <xf numFmtId="49" fontId="0" fillId="0" borderId="0" xfId="60" applyNumberFormat="1" applyFont="1" applyAlignment="1">
      <alignment horizontal="right"/>
      <protection/>
    </xf>
    <xf numFmtId="0" fontId="4" fillId="37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37" borderId="52" xfId="0" applyFont="1" applyFill="1" applyBorder="1" applyAlignment="1">
      <alignment horizontal="center" wrapText="1"/>
    </xf>
    <xf numFmtId="0" fontId="4" fillId="37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4" fillId="44" borderId="50" xfId="0" applyFont="1" applyFill="1" applyBorder="1" applyAlignment="1">
      <alignment horizontal="right"/>
    </xf>
    <xf numFmtId="0" fontId="4" fillId="44" borderId="32" xfId="0" applyFont="1" applyFill="1" applyBorder="1" applyAlignment="1">
      <alignment horizontal="right"/>
    </xf>
    <xf numFmtId="0" fontId="4" fillId="44" borderId="30" xfId="0" applyFont="1" applyFill="1" applyBorder="1" applyAlignment="1">
      <alignment horizontal="right"/>
    </xf>
    <xf numFmtId="0" fontId="2" fillId="40" borderId="57" xfId="0" applyFont="1" applyFill="1" applyBorder="1" applyAlignment="1">
      <alignment horizontal="left" vertical="top" wrapText="1"/>
    </xf>
    <xf numFmtId="0" fontId="2" fillId="40" borderId="58" xfId="0" applyFont="1" applyFill="1" applyBorder="1" applyAlignment="1">
      <alignment horizontal="left" vertical="top" wrapText="1"/>
    </xf>
    <xf numFmtId="0" fontId="4" fillId="44" borderId="59" xfId="0" applyFont="1" applyFill="1" applyBorder="1" applyAlignment="1">
      <alignment horizontal="right"/>
    </xf>
    <xf numFmtId="0" fontId="4" fillId="44" borderId="60" xfId="0" applyFont="1" applyFill="1" applyBorder="1" applyAlignment="1">
      <alignment horizontal="right"/>
    </xf>
    <xf numFmtId="0" fontId="4" fillId="44" borderId="61" xfId="0" applyFont="1" applyFill="1" applyBorder="1" applyAlignment="1">
      <alignment horizontal="right"/>
    </xf>
    <xf numFmtId="0" fontId="4" fillId="37" borderId="62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5" xfId="0" applyFont="1" applyBorder="1" applyAlignment="1">
      <alignment/>
    </xf>
    <xf numFmtId="0" fontId="4" fillId="37" borderId="62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4" borderId="66" xfId="0" applyFont="1" applyFill="1" applyBorder="1" applyAlignment="1">
      <alignment horizontal="right"/>
    </xf>
    <xf numFmtId="0" fontId="4" fillId="44" borderId="34" xfId="0" applyFont="1" applyFill="1" applyBorder="1" applyAlignment="1">
      <alignment horizontal="right"/>
    </xf>
    <xf numFmtId="0" fontId="4" fillId="44" borderId="67" xfId="0" applyFont="1" applyFill="1" applyBorder="1" applyAlignment="1">
      <alignment horizontal="right"/>
    </xf>
    <xf numFmtId="0" fontId="4" fillId="37" borderId="63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4" borderId="73" xfId="0" applyFont="1" applyFill="1" applyBorder="1" applyAlignment="1">
      <alignment horizontal="right"/>
    </xf>
    <xf numFmtId="0" fontId="4" fillId="44" borderId="74" xfId="0" applyFont="1" applyFill="1" applyBorder="1" applyAlignment="1">
      <alignment horizontal="right"/>
    </xf>
    <xf numFmtId="0" fontId="4" fillId="44" borderId="75" xfId="0" applyFont="1" applyFill="1" applyBorder="1" applyAlignment="1">
      <alignment horizontal="right"/>
    </xf>
    <xf numFmtId="0" fontId="4" fillId="38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5" borderId="71" xfId="0" applyFont="1" applyFill="1" applyBorder="1" applyAlignment="1">
      <alignment horizontal="center"/>
    </xf>
    <xf numFmtId="0" fontId="12" fillId="45" borderId="54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4" fontId="0" fillId="0" borderId="0" xfId="60" applyNumberFormat="1" applyFont="1">
      <alignment/>
      <protection/>
    </xf>
    <xf numFmtId="49" fontId="0" fillId="0" borderId="0" xfId="60" applyNumberFormat="1" applyFont="1">
      <alignment/>
      <protection/>
    </xf>
    <xf numFmtId="4" fontId="0" fillId="0" borderId="0" xfId="60" applyNumberFormat="1" applyFont="1">
      <alignment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59" applyNumberFormat="1" applyFont="1">
      <alignment/>
      <protection/>
    </xf>
    <xf numFmtId="173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PAGADO" xfId="58"/>
    <cellStyle name="Normala_xehet1" xfId="59"/>
    <cellStyle name="Normala_xehet32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64">
      <selection activeCell="D5" sqref="D5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27">
        <f>SUMSQ(D27:I27,D39:F40,D59:I59,D72:F72,D82:F83,E91:H91)</f>
        <v>51729594756.135216</v>
      </c>
      <c r="B1" s="227"/>
    </row>
    <row r="2" spans="1:9" s="42" customFormat="1" ht="15.75" customHeight="1">
      <c r="A2" s="228" t="s">
        <v>74</v>
      </c>
      <c r="B2" s="229"/>
      <c r="C2" s="229"/>
      <c r="D2" s="229"/>
      <c r="E2" s="229"/>
      <c r="F2" s="229"/>
      <c r="G2" s="229"/>
      <c r="H2" s="229"/>
      <c r="I2" s="230"/>
    </row>
    <row r="3" spans="1:9" s="42" customFormat="1" ht="15.75" customHeight="1">
      <c r="A3" s="43"/>
      <c r="B3" s="44"/>
      <c r="C3" s="45" t="s">
        <v>20</v>
      </c>
      <c r="D3" s="231" t="s">
        <v>21</v>
      </c>
      <c r="E3" s="231"/>
      <c r="F3" s="231"/>
      <c r="G3" s="231"/>
      <c r="H3" s="44"/>
      <c r="I3" s="46"/>
    </row>
    <row r="4" spans="1:9" s="42" customFormat="1" ht="15.75" customHeight="1">
      <c r="A4" s="43"/>
      <c r="B4" s="44"/>
      <c r="C4" s="47" t="s">
        <v>75</v>
      </c>
      <c r="D4" s="48">
        <v>2016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76</v>
      </c>
      <c r="D5" s="53" t="s">
        <v>115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22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23</v>
      </c>
    </row>
    <row r="13" spans="1:9" ht="12.75" customHeight="1">
      <c r="A13" s="186" t="s">
        <v>24</v>
      </c>
      <c r="B13" s="187"/>
      <c r="C13" s="200"/>
      <c r="D13" s="202" t="s">
        <v>25</v>
      </c>
      <c r="E13" s="203"/>
      <c r="F13" s="214" t="s">
        <v>29</v>
      </c>
      <c r="G13" s="215"/>
      <c r="H13" s="215"/>
      <c r="I13" s="216"/>
    </row>
    <row r="14" spans="1:9" ht="12.75" customHeight="1">
      <c r="A14" s="189"/>
      <c r="B14" s="190"/>
      <c r="C14" s="201"/>
      <c r="D14" s="217" t="s">
        <v>26</v>
      </c>
      <c r="E14" s="218"/>
      <c r="F14" s="219" t="s">
        <v>30</v>
      </c>
      <c r="G14" s="220"/>
      <c r="H14" s="220" t="s">
        <v>31</v>
      </c>
      <c r="I14" s="221"/>
    </row>
    <row r="15" spans="1:9" ht="22.5">
      <c r="A15" s="189"/>
      <c r="B15" s="190"/>
      <c r="C15" s="201"/>
      <c r="D15" s="63" t="s">
        <v>27</v>
      </c>
      <c r="E15" s="23" t="s">
        <v>28</v>
      </c>
      <c r="F15" s="60" t="s">
        <v>32</v>
      </c>
      <c r="G15" s="22" t="s">
        <v>33</v>
      </c>
      <c r="H15" s="22" t="s">
        <v>32</v>
      </c>
      <c r="I15" s="74" t="s">
        <v>33</v>
      </c>
    </row>
    <row r="16" spans="1:9" ht="12.75" customHeight="1">
      <c r="A16" s="207" t="s">
        <v>34</v>
      </c>
      <c r="B16" s="208"/>
      <c r="C16" s="208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0</v>
      </c>
      <c r="G16" s="24">
        <f>SUM(G17:G21)</f>
        <v>0</v>
      </c>
      <c r="H16" s="25">
        <f>SUM(H17:H21)</f>
        <v>177</v>
      </c>
      <c r="I16" s="95">
        <f>SUM(I17:I21)</f>
        <v>158862.21000000002</v>
      </c>
    </row>
    <row r="17" spans="1:9" ht="12.75" customHeight="1">
      <c r="A17" s="98"/>
      <c r="B17" s="99" t="s">
        <v>0</v>
      </c>
      <c r="C17" s="19" t="s">
        <v>35</v>
      </c>
      <c r="D17" s="66">
        <f>IF(F17+H17=0,0,SUMIF(detalle1!S:S,20,detalle1!T:T)/SUMIF(detalle1!S:S,20,detalle1!D:D))</f>
        <v>0</v>
      </c>
      <c r="E17" s="38">
        <f>IF(H17=0,0,SUMIF(detalle1!V:V,220,detalle1!T:T)/SUMIF(detalle1!V:V,220,detalle1!D:D))</f>
        <v>0</v>
      </c>
      <c r="F17" s="39">
        <f>COUNTIF(detalle1!V:V,120)</f>
        <v>0</v>
      </c>
      <c r="G17" s="26">
        <f>SUMIF(detalle1!V:V,120,detalle1!D:D)</f>
        <v>0</v>
      </c>
      <c r="H17" s="27">
        <f>COUNTIF(detalle1!V:V,220)</f>
        <v>5</v>
      </c>
      <c r="I17" s="85">
        <f>SUMIF(detalle1!V:V,220,detalle1!D:D)</f>
        <v>1907.81</v>
      </c>
    </row>
    <row r="18" spans="1:9" ht="12.75" customHeight="1">
      <c r="A18" s="98"/>
      <c r="B18" s="99" t="s">
        <v>1</v>
      </c>
      <c r="C18" s="19" t="s">
        <v>36</v>
      </c>
      <c r="D18" s="66">
        <f>IF(F18+H18=0,0,SUMIF(detalle1!S:S,21,detalle1!T:T)/SUMIF(detalle1!S:S,21,detalle1!D:D))</f>
        <v>0</v>
      </c>
      <c r="E18" s="38">
        <f>IF(H18=0,0,SUMIF(detalle1!V:V,221,detalle1!T:T)/SUMIF(detalle1!V:V,221,detalle1!D:D))</f>
        <v>0</v>
      </c>
      <c r="F18" s="39">
        <f>COUNTIF(detalle1!V:V,121)</f>
        <v>0</v>
      </c>
      <c r="G18" s="26">
        <f>SUMIF(detalle1!V:V,121,detalle1!D:D)</f>
        <v>0</v>
      </c>
      <c r="H18" s="27">
        <f>COUNTIF(detalle1!V:V,221)</f>
        <v>20</v>
      </c>
      <c r="I18" s="85">
        <f>SUMIF(detalle1!V:V,221,detalle1!D:D)</f>
        <v>34026.98</v>
      </c>
    </row>
    <row r="19" spans="1:9" ht="12.75" customHeight="1">
      <c r="A19" s="98"/>
      <c r="B19" s="99" t="s">
        <v>2</v>
      </c>
      <c r="C19" s="19" t="s">
        <v>37</v>
      </c>
      <c r="D19" s="66">
        <f>IF(F19+H19=0,0,SUMIF(detalle1!S:S,22,detalle1!T:T)/SUMIF(detalle1!S:S,22,detalle1!D:D))</f>
        <v>0</v>
      </c>
      <c r="E19" s="38">
        <f>IF(H19=0,0,SUMIF(detalle1!V:V,222,detalle1!T:T)/SUMIF(detalle1!V:V,222,detalle1!D:D))</f>
        <v>0</v>
      </c>
      <c r="F19" s="39">
        <f>COUNTIF(detalle1!V:V,122)</f>
        <v>0</v>
      </c>
      <c r="G19" s="26">
        <f>SUMIF(detalle1!V:V,122,detalle1!D:D)</f>
        <v>0</v>
      </c>
      <c r="H19" s="27">
        <f>COUNTIF(detalle1!V:V,222)</f>
        <v>20</v>
      </c>
      <c r="I19" s="85">
        <f>SUMIF(detalle1!V:V,222,detalle1!D:D)</f>
        <v>8404.98</v>
      </c>
    </row>
    <row r="20" spans="1:9" ht="12.75" customHeight="1">
      <c r="A20" s="98"/>
      <c r="B20" s="99" t="s">
        <v>3</v>
      </c>
      <c r="C20" s="19" t="s">
        <v>38</v>
      </c>
      <c r="D20" s="66">
        <f>IF(F20+H20=0,0,SUMIF(detalle1!S:S,23,detalle1!T:T)/SUMIF(detalle1!S:S,23,detalle1!D:D))</f>
        <v>0</v>
      </c>
      <c r="E20" s="38">
        <f>IF(H20=0,0,SUMIF(detalle1!V:V,223,detalle1!T:T)/SUMIF(detalle1!V:V,223,detalle1!D:D))</f>
        <v>0</v>
      </c>
      <c r="F20" s="39">
        <f>COUNTIF(detalle1!V:V,123)</f>
        <v>0</v>
      </c>
      <c r="G20" s="26">
        <f>SUMIF(detalle1!V:V,123,detalle1!D:D)</f>
        <v>0</v>
      </c>
      <c r="H20" s="27">
        <f>COUNTIF(detalle1!V:V,223)</f>
        <v>0</v>
      </c>
      <c r="I20" s="85">
        <f>SUMIF(detalle1!V:V,223,detalle1!D:D)</f>
        <v>0</v>
      </c>
    </row>
    <row r="21" spans="1:9" ht="12.75" customHeight="1">
      <c r="A21" s="98"/>
      <c r="B21" s="99" t="s">
        <v>7</v>
      </c>
      <c r="C21" s="19" t="s">
        <v>39</v>
      </c>
      <c r="D21" s="66">
        <f>IF(F21+H21=0,0,SUMIF(detalle1!S:S,29,detalle1!T:T)/SUMIF(detalle1!S:S,29,detalle1!D:D))</f>
        <v>0</v>
      </c>
      <c r="E21" s="38">
        <f>IF(H21=0,0,SUMIF(detalle1!V:V,229,detalle1!T:T)/SUMIF(detalle1!V:V,229,detalle1!D:D))</f>
        <v>0</v>
      </c>
      <c r="F21" s="39">
        <f>COUNTIF(detalle1!V:V,129)</f>
        <v>0</v>
      </c>
      <c r="G21" s="26">
        <f>SUMIF(detalle1!V:V,129,detalle1!D:D)</f>
        <v>0</v>
      </c>
      <c r="H21" s="27">
        <f>COUNTIF(detalle1!V:V,229)</f>
        <v>132</v>
      </c>
      <c r="I21" s="85">
        <f>SUMIF(detalle1!V:V,229,detalle1!D:D)</f>
        <v>114522.44000000002</v>
      </c>
    </row>
    <row r="22" spans="1:9" ht="12.75" customHeight="1">
      <c r="A22" s="207" t="s">
        <v>40</v>
      </c>
      <c r="B22" s="208"/>
      <c r="C22" s="208"/>
      <c r="D22" s="64">
        <f aca="true" t="shared" si="0" ref="D22:I22">D23</f>
        <v>0</v>
      </c>
      <c r="E22" s="65">
        <f t="shared" si="0"/>
        <v>0</v>
      </c>
      <c r="F22" s="62">
        <f t="shared" si="0"/>
        <v>0</v>
      </c>
      <c r="G22" s="29">
        <f t="shared" si="0"/>
        <v>0</v>
      </c>
      <c r="H22" s="28">
        <f t="shared" si="0"/>
        <v>5</v>
      </c>
      <c r="I22" s="95">
        <f t="shared" si="0"/>
        <v>1963.05</v>
      </c>
    </row>
    <row r="23" spans="1:9" ht="12.75" customHeight="1">
      <c r="A23" s="98"/>
      <c r="B23" s="100" t="s">
        <v>8</v>
      </c>
      <c r="C23" s="101" t="s">
        <v>54</v>
      </c>
      <c r="D23" s="66">
        <f>IF(F23+H23=0,0,SUMIF(detalle1!S:S,69,detalle1!T:T)/SUMIF(detalle1!S:S,69,detalle1!D:D))</f>
        <v>0</v>
      </c>
      <c r="E23" s="38">
        <f>IF(H23=0,0,SUMIF(detalle1!V:V,269,detalle1!T:T)/SUMIF(detalle1!V:V,269,detalle1!D:D))</f>
        <v>0</v>
      </c>
      <c r="F23" s="39">
        <f>COUNTIF(detalle1!V:V,169)</f>
        <v>0</v>
      </c>
      <c r="G23" s="26">
        <f>SUMIF(detalle1!V:V,169,detalle1!D:D)</f>
        <v>0</v>
      </c>
      <c r="H23" s="27">
        <f>COUNTIF(detalle1!V:V,269)</f>
        <v>5</v>
      </c>
      <c r="I23" s="85">
        <f>SUMIF(detalle1!V:V,269,detalle1!D:D)</f>
        <v>1963.05</v>
      </c>
    </row>
    <row r="24" spans="1:9" ht="12.75" customHeight="1">
      <c r="A24" s="207" t="s">
        <v>41</v>
      </c>
      <c r="B24" s="208"/>
      <c r="C24" s="208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70" t="s">
        <v>42</v>
      </c>
      <c r="C25" s="170"/>
      <c r="D25" s="106"/>
      <c r="E25" s="107"/>
      <c r="F25" s="108"/>
      <c r="G25" s="109"/>
      <c r="H25" s="110"/>
      <c r="I25" s="111"/>
    </row>
    <row r="26" spans="1:9" ht="12.75" customHeight="1" thickBot="1">
      <c r="A26" s="225" t="s">
        <v>27</v>
      </c>
      <c r="B26" s="226"/>
      <c r="C26" s="226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0</v>
      </c>
      <c r="G26" s="78">
        <f>G16+G22+G24</f>
        <v>0</v>
      </c>
      <c r="H26" s="79">
        <f>H16+H22+H24</f>
        <v>182</v>
      </c>
      <c r="I26" s="82">
        <f>I16+I22+I24</f>
        <v>160825.26</v>
      </c>
    </row>
    <row r="27" spans="1:9" ht="12.75" customHeight="1">
      <c r="A27" s="2" t="s">
        <v>14</v>
      </c>
      <c r="C27" s="2" t="s">
        <v>43</v>
      </c>
      <c r="D27" s="72">
        <f>IF(SUM(detalle1!D:D)=0,0,SUM(detalle1!T:T)/SUM(detalle1!D:D))-IF((G16+I16+G22+I22)=0,0,(D16*(G16+I16)+D22*(G22+I22))/(G16+I16+G22+I22))</f>
        <v>0</v>
      </c>
      <c r="E27" s="72">
        <f>IF(SUMIF(detalle1!V:V,"&gt;199",detalle1!D:D)=0,0,SUMIF(detalle1!V:V,"&gt;199",detalle1!T:T)/SUMIF(detalle1!V:V,"&gt;199",detalle1!D:D))-IF(I16+I22=0,0,(E16*I16+E22*I22)/(I16+I22))</f>
        <v>0</v>
      </c>
      <c r="F27" s="72">
        <f>COUNTIF(detalle1!P:P,"&lt;=30")-F26+F25</f>
        <v>182</v>
      </c>
      <c r="G27" s="72">
        <f>SUMIF(detalle1!P:P,"&lt;=30",detalle1!D:D)-G26+G25</f>
        <v>160825.26000000004</v>
      </c>
      <c r="H27" s="72">
        <f>COUNTIF(detalle1!P:P,"&gt;30")-H26+H25</f>
        <v>-182</v>
      </c>
      <c r="I27" s="72">
        <f>SUMIF(detalle1!P:P,"&gt;30",detalle1!D:D)-I26+I25</f>
        <v>-160825.26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44</v>
      </c>
    </row>
    <row r="31" spans="1:7" ht="12.75" customHeight="1">
      <c r="A31" s="186" t="s">
        <v>45</v>
      </c>
      <c r="B31" s="187"/>
      <c r="C31" s="188"/>
      <c r="D31" s="192" t="s">
        <v>50</v>
      </c>
      <c r="E31" s="193"/>
      <c r="F31" s="193"/>
      <c r="G31" s="194"/>
    </row>
    <row r="32" spans="1:7" ht="12.75" customHeight="1">
      <c r="A32" s="189"/>
      <c r="B32" s="190"/>
      <c r="C32" s="191"/>
      <c r="D32" s="60" t="s">
        <v>51</v>
      </c>
      <c r="E32" s="22" t="s">
        <v>13</v>
      </c>
      <c r="F32" s="22" t="s">
        <v>33</v>
      </c>
      <c r="G32" s="74" t="s">
        <v>13</v>
      </c>
    </row>
    <row r="33" spans="1:7" ht="12.75" customHeight="1">
      <c r="A33" s="98"/>
      <c r="B33" s="195" t="s">
        <v>46</v>
      </c>
      <c r="C33" s="196"/>
      <c r="D33" s="70">
        <f>COUNTIF(detalle1!P:P,"&lt;=30")+F25</f>
        <v>182</v>
      </c>
      <c r="E33" s="32">
        <f>IF($D$38=0,0,D33*100/$D$38)</f>
        <v>100</v>
      </c>
      <c r="F33" s="32">
        <f>SUMIF(detalle1!P:P,"&lt;=30",detalle1!D:D)+G25</f>
        <v>160825.26000000004</v>
      </c>
      <c r="G33" s="112">
        <f>IF($F$38=0,0,F33*100/$F$38)</f>
        <v>100</v>
      </c>
    </row>
    <row r="34" spans="1:7" ht="12.75" customHeight="1">
      <c r="A34" s="98"/>
      <c r="B34" s="168" t="s">
        <v>47</v>
      </c>
      <c r="C34" s="169"/>
      <c r="D34" s="71">
        <f>COUNTIF(detalle1!P:P,"&lt;=40")-D33+F25+IF(AND(E25&gt;30,E25&lt;=40),H25)</f>
        <v>0</v>
      </c>
      <c r="E34" s="26">
        <f>IF($D$38=0,0,D34*100/$D$38)</f>
        <v>0</v>
      </c>
      <c r="F34" s="26">
        <f>SUMIF(detalle1!P:P,"&lt;=40",detalle1!D:D)-F33+G25+IF(AND(E25&gt;30,E25&lt;=40),I25)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48</v>
      </c>
      <c r="C35" s="103"/>
      <c r="D35" s="71">
        <f>COUNTIF(detalle1!P:P,"&lt;=50")-SUM(D33:D34)+F25+IF(E25&lt;=50,H25)</f>
        <v>0</v>
      </c>
      <c r="E35" s="26">
        <f>IF($D$38=0,0,D35*100/$D$38)</f>
        <v>0</v>
      </c>
      <c r="F35" s="26">
        <f>SUMIF(detalle1!P:P,"&lt;=50",detalle1!D:D)-SUM(F33:F34)+G25+IF(E25&lt;=50,I25)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95" t="s">
        <v>47</v>
      </c>
      <c r="C36" s="196"/>
      <c r="D36" s="71">
        <f>COUNTIF(detalle1!P:P,"&lt;=60")-SUM(D33:D35)+F25+IF(E25&lt;=60,H25)</f>
        <v>0</v>
      </c>
      <c r="E36" s="26">
        <f>IF($D$38=0,0,D36*100/$D$38)</f>
        <v>0</v>
      </c>
      <c r="F36" s="26">
        <f>SUMIF(detalle1!P:P,"&lt;=60",detalle1!D:D)-SUM(F33:F35)+G25+IF(E25&lt;=60,I25)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70" t="s">
        <v>49</v>
      </c>
      <c r="C37" s="171"/>
      <c r="D37" s="94">
        <f>COUNTIF(detalle1!P:P,"&gt;60")+IF(E25&gt;60,H25)</f>
        <v>0</v>
      </c>
      <c r="E37" s="26">
        <f>IF($D$38=0,0,D37*100/$D$38)</f>
        <v>0</v>
      </c>
      <c r="F37" s="30">
        <f>SUMIF(detalle1!P:P,"&gt;60",detalle1!D:D)+IF(E25&gt;60,I25)</f>
        <v>0</v>
      </c>
      <c r="G37" s="85">
        <f>IF($F$38=0,0,F37*100/$F$38)</f>
        <v>0</v>
      </c>
    </row>
    <row r="38" spans="1:7" ht="12.75" customHeight="1" thickBot="1">
      <c r="A38" s="222" t="s">
        <v>27</v>
      </c>
      <c r="B38" s="223"/>
      <c r="C38" s="224"/>
      <c r="D38" s="80">
        <f>SUM(D33:D37)</f>
        <v>182</v>
      </c>
      <c r="E38" s="81">
        <f>SUM(E33:E37)</f>
        <v>100</v>
      </c>
      <c r="F38" s="81">
        <f>SUM(F33:F37)</f>
        <v>160825.26000000004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COUNT(detalle1!D:D)-D38+F25+H25</f>
        <v>0</v>
      </c>
      <c r="E39" s="72"/>
      <c r="F39" s="72">
        <f>SUM(detalle1!D:D)-F38+G25+I25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52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86" t="s">
        <v>53</v>
      </c>
      <c r="B45" s="187"/>
      <c r="C45" s="200"/>
      <c r="D45" s="202" t="s">
        <v>25</v>
      </c>
      <c r="E45" s="203"/>
      <c r="F45" s="214" t="s">
        <v>56</v>
      </c>
      <c r="G45" s="215"/>
      <c r="H45" s="215"/>
      <c r="I45" s="216"/>
    </row>
    <row r="46" spans="1:9" ht="12.75" customHeight="1">
      <c r="A46" s="189"/>
      <c r="B46" s="190"/>
      <c r="C46" s="201"/>
      <c r="D46" s="217" t="s">
        <v>26</v>
      </c>
      <c r="E46" s="218"/>
      <c r="F46" s="219" t="s">
        <v>30</v>
      </c>
      <c r="G46" s="220"/>
      <c r="H46" s="220" t="s">
        <v>31</v>
      </c>
      <c r="I46" s="221"/>
    </row>
    <row r="47" spans="1:9" ht="22.5">
      <c r="A47" s="189"/>
      <c r="B47" s="190"/>
      <c r="C47" s="201"/>
      <c r="D47" s="63" t="s">
        <v>27</v>
      </c>
      <c r="E47" s="23" t="s">
        <v>28</v>
      </c>
      <c r="F47" s="60" t="s">
        <v>57</v>
      </c>
      <c r="G47" s="22" t="s">
        <v>33</v>
      </c>
      <c r="H47" s="22" t="str">
        <f>+F47</f>
        <v>Número de operaciones</v>
      </c>
      <c r="I47" s="74" t="str">
        <f>+G47</f>
        <v>Importe total</v>
      </c>
    </row>
    <row r="48" spans="1:9" ht="12.75" customHeight="1">
      <c r="A48" s="204" t="s">
        <v>34</v>
      </c>
      <c r="B48" s="205"/>
      <c r="C48" s="206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tr">
        <f>+C17</f>
        <v>Arrendamientos y cánones</v>
      </c>
      <c r="D49" s="66">
        <f>IF(F49+H49=0,0,SUMIF(detalle2!S:S,20,detalle2!T:T)/SUMIF(detalle2!S:S,20,detalle2!D:D))</f>
        <v>0</v>
      </c>
      <c r="E49" s="38">
        <f>IF(H49=0,0,SUMIF(detalle2!V:V,220,detalle2!T:T)/SUMIF(detalle2!V:V,220,detalle2!D:D))</f>
        <v>0</v>
      </c>
      <c r="F49" s="39">
        <f>COUNTIF(detalle2!V:V,120)</f>
        <v>0</v>
      </c>
      <c r="G49" s="26">
        <f>SUMIF(detalle2!V:V,120,detalle2!D:D)</f>
        <v>0</v>
      </c>
      <c r="H49" s="27">
        <f>COUNTIF(detalle2!V:V,220)</f>
        <v>0</v>
      </c>
      <c r="I49" s="85">
        <f>SUMIF(detalle2!V:V,220,detalle2!D:D)</f>
        <v>0</v>
      </c>
    </row>
    <row r="50" spans="1:9" ht="12.75" customHeight="1">
      <c r="A50" s="98"/>
      <c r="B50" s="99" t="s">
        <v>1</v>
      </c>
      <c r="C50" s="19" t="str">
        <f>+C18</f>
        <v>Reparaciones, mantenimiento y conservación</v>
      </c>
      <c r="D50" s="66">
        <f>IF(F50+H50=0,0,SUMIF(detalle2!S:S,21,detalle2!T:T)/SUMIF(detalle2!S:S,21,detalle2!D:D))</f>
        <v>0</v>
      </c>
      <c r="E50" s="38">
        <f>IF(H50=0,0,SUMIF(detalle2!V:V,221,detalle2!T:T)/SUMIF(detalle2!V:V,221,detalle2!D:D))</f>
        <v>0</v>
      </c>
      <c r="F50" s="39">
        <f>COUNTIF(detalle2!V:V,121)</f>
        <v>0</v>
      </c>
      <c r="G50" s="26">
        <f>SUMIF(detalle2!V:V,121,detalle2!D:D)</f>
        <v>0</v>
      </c>
      <c r="H50" s="27">
        <f>COUNTIF(detalle2!V:V,221)</f>
        <v>0</v>
      </c>
      <c r="I50" s="85">
        <f>SUMIF(detalle2!V:V,221,detalle2!D:D)</f>
        <v>0</v>
      </c>
    </row>
    <row r="51" spans="1:9" ht="12.75" customHeight="1">
      <c r="A51" s="98"/>
      <c r="B51" s="99" t="s">
        <v>2</v>
      </c>
      <c r="C51" s="19" t="str">
        <f>+C19</f>
        <v>Material, suministros y otros</v>
      </c>
      <c r="D51" s="66">
        <f>IF(F51+H51=0,0,SUMIF(detalle2!S:S,22,detalle2!T:T)/SUMIF(detalle2!S:S,22,detalle2!D:D))</f>
        <v>0</v>
      </c>
      <c r="E51" s="38">
        <f>IF(H51=0,0,SUMIF(detalle2!V:V,222,detalle2!T:T)/SUMIF(detalle2!V:V,222,detalle2!D:D))</f>
        <v>0</v>
      </c>
      <c r="F51" s="39">
        <f>COUNTIF(detalle2!V:V,122)</f>
        <v>0</v>
      </c>
      <c r="G51" s="26">
        <f>SUMIF(detalle2!V:V,122,detalle2!D:D)</f>
        <v>0</v>
      </c>
      <c r="H51" s="27">
        <f>COUNTIF(detalle2!V:V,222)</f>
        <v>0</v>
      </c>
      <c r="I51" s="85">
        <f>SUMIF(detalle2!V:V,222,detalle2!D:D)</f>
        <v>0</v>
      </c>
    </row>
    <row r="52" spans="1:9" ht="12.75" customHeight="1">
      <c r="A52" s="98"/>
      <c r="B52" s="99" t="s">
        <v>3</v>
      </c>
      <c r="C52" s="19" t="str">
        <f>+C20</f>
        <v>Indemnizaciones por razón del servicio</v>
      </c>
      <c r="D52" s="66">
        <f>IF(F52+H52=0,0,SUMIF(detalle2!S:S,23,detalle2!T:T)/SUMIF(detalle2!S:S,23,detalle2!D:D))</f>
        <v>0</v>
      </c>
      <c r="E52" s="38">
        <f>IF(H52=0,0,SUMIF(detalle2!V:V,223,detalle2!T:T)/SUMIF(detalle2!V:V,223,detalle2!D:D))</f>
        <v>0</v>
      </c>
      <c r="F52" s="39">
        <f>COUNTIF(detalle2!V:V,123)</f>
        <v>0</v>
      </c>
      <c r="G52" s="26">
        <f>SUMIF(detalle2!V:V,123,detalle2!D:D)</f>
        <v>0</v>
      </c>
      <c r="H52" s="27">
        <f>COUNTIF(detalle2!V:V,223)</f>
        <v>0</v>
      </c>
      <c r="I52" s="85">
        <f>SUMIF(detalle2!V:V,223,detalle2!D:D)</f>
        <v>0</v>
      </c>
    </row>
    <row r="53" spans="1:9" ht="12.75" customHeight="1">
      <c r="A53" s="98"/>
      <c r="B53" s="99" t="s">
        <v>19</v>
      </c>
      <c r="C53" s="19" t="str">
        <f>+C21</f>
        <v>Otros</v>
      </c>
      <c r="D53" s="66">
        <f>IF(F53+H53=0,0,SUMIF(detalle2!S:S,29,detalle2!T:T)/SUMIF(detalle2!S:S,29,detalle2!D:D))</f>
        <v>0</v>
      </c>
      <c r="E53" s="38">
        <f>IF(H53=0,0,SUMIF(detalle2!V:V,229,detalle2!T:T)/SUMIF(detalle2!V:V,229,detalle2!D:D))</f>
        <v>0</v>
      </c>
      <c r="F53" s="39">
        <f>COUNTIF(detalle2!V:V,129)</f>
        <v>0</v>
      </c>
      <c r="G53" s="26">
        <f>SUMIF(detalle2!V:V,129,detalle2!D:D)</f>
        <v>0</v>
      </c>
      <c r="H53" s="27">
        <f>COUNTIF(detalle2!V:V,229)</f>
        <v>0</v>
      </c>
      <c r="I53" s="85">
        <f>SUMIF(detalle2!V:V,229,detalle2!D:D)</f>
        <v>0</v>
      </c>
    </row>
    <row r="54" spans="1:9" ht="12.75" customHeight="1">
      <c r="A54" s="207" t="s">
        <v>54</v>
      </c>
      <c r="B54" s="208"/>
      <c r="C54" s="208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tr">
        <f>+C23</f>
        <v>Inversiones reales</v>
      </c>
      <c r="D55" s="66">
        <f>IF(F55+H55=0,0,SUMIF(detalle2!S:S,69,detalle2!T:T)/SUMIF(detalle2!S:S,69,detalle2!D:D))</f>
        <v>0</v>
      </c>
      <c r="E55" s="38">
        <f>IF(H55=0,0,SUMIF(detalle2!V:V,269,detalle2!T:T)/SUMIF(detalle2!V:V,269,detalle2!D:D))</f>
        <v>0</v>
      </c>
      <c r="F55" s="39">
        <f>COUNTIF(detalle2!V:V,169)</f>
        <v>0</v>
      </c>
      <c r="G55" s="26">
        <f>SUMIF(detalle2!V:V,169,detalle2!D:D)</f>
        <v>0</v>
      </c>
      <c r="H55" s="27">
        <f>COUNTIF(detalle2!V:V,269)</f>
        <v>0</v>
      </c>
      <c r="I55" s="85">
        <f>SUMIF(detalle2!V:V,269,detalle2!D:D)</f>
        <v>0</v>
      </c>
    </row>
    <row r="56" spans="1:9" ht="12.75" customHeight="1">
      <c r="A56" s="209" t="str">
        <f>+A24</f>
        <v>Pagos pendientes de aplicar al presupuesto*</v>
      </c>
      <c r="B56" s="210"/>
      <c r="C56" s="211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12" t="str">
        <f>+B25</f>
        <v>Pagos pendientes de aplicar al presupuesto</v>
      </c>
      <c r="C57" s="213"/>
      <c r="D57" s="106"/>
      <c r="E57" s="107"/>
      <c r="F57" s="108"/>
      <c r="G57" s="109"/>
      <c r="H57" s="110"/>
      <c r="I57" s="111"/>
    </row>
    <row r="58" spans="1:9" ht="12.75" customHeight="1" thickBot="1">
      <c r="A58" s="197" t="str">
        <f>+A26</f>
        <v>Total</v>
      </c>
      <c r="B58" s="198"/>
      <c r="C58" s="199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55</v>
      </c>
      <c r="D59" s="72">
        <f>IF(SUM(detalle2!D:D)=0,0,SUM(detalle2!T:T)/SUM(detalle2!D:D))-IF((G48+I48+G54+I54)=0,0,(D48*(G48+I48)+D54*(G54+I54))/(G48+I48+G54+I54))</f>
        <v>0</v>
      </c>
      <c r="E59" s="72">
        <f>IF(SUMIF(detalle2!V:V,"&gt;199",detalle2!D:D)=0,0,SUMIF(detalle2!V:V,"&gt;199",detalle2!T:T)/SUMIF(detalle2!V:V,"&gt;199",detalle2!D:D))-IF(I48+I54=0,0,(E48*I48+E54*I54)/(I48+I54))</f>
        <v>0</v>
      </c>
      <c r="F59" s="72">
        <f>COUNTIF(detalle2!P:P,"&lt;=30")-F58+F57</f>
        <v>0</v>
      </c>
      <c r="G59" s="72">
        <f>SUMIF(detalle2!P:P,"&lt;=30",detalle2!D:D)-G58+G57</f>
        <v>0</v>
      </c>
      <c r="H59" s="72">
        <f>COUNTIF(detalle2!P:P,"&gt;30")-H58+H57</f>
        <v>0</v>
      </c>
      <c r="I59" s="72">
        <f>SUMIF(detalle2!P:P,"&gt;30",detalle2!D:D)-I58+I57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58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59</v>
      </c>
    </row>
    <row r="67" spans="1:7" ht="33.75">
      <c r="A67" s="186" t="s">
        <v>60</v>
      </c>
      <c r="B67" s="187"/>
      <c r="C67" s="188"/>
      <c r="D67" s="83" t="s">
        <v>61</v>
      </c>
      <c r="E67" s="73" t="s">
        <v>62</v>
      </c>
      <c r="F67" s="84" t="s">
        <v>33</v>
      </c>
      <c r="G67" s="36"/>
    </row>
    <row r="68" spans="1:6" ht="12.75" customHeight="1">
      <c r="A68" s="105"/>
      <c r="B68" s="166" t="s">
        <v>5</v>
      </c>
      <c r="C68" s="167"/>
      <c r="D68" s="67">
        <f>IF(E68=0,0,SUMIF(detalle32!T:T,22,detalle32!R:R)/SUMIF(detalle32!T:T,22,detalle32!D:D))</f>
        <v>0</v>
      </c>
      <c r="E68" s="37">
        <f>COUNTIF(detalle32!T:T,22)</f>
        <v>0</v>
      </c>
      <c r="F68" s="85">
        <f>SUMIF(detalle32!T:T,22,detalle32!D:D)</f>
        <v>0</v>
      </c>
    </row>
    <row r="69" spans="1:6" ht="12.75" customHeight="1">
      <c r="A69" s="98"/>
      <c r="B69" s="168" t="s">
        <v>4</v>
      </c>
      <c r="C69" s="169"/>
      <c r="D69" s="67">
        <f>IF(E69=0,0,SUMIF(detalle32!T:T,26,detalle32!R:R)/SUMIF(detalle32!T:T,26,detalle32!D:D))</f>
        <v>0</v>
      </c>
      <c r="E69" s="37">
        <f>COUNTIF(detalle32!T:T,26)</f>
        <v>0</v>
      </c>
      <c r="F69" s="85">
        <f>SUMIF(detalle32!T:T,26,detalle32!D:D)</f>
        <v>0</v>
      </c>
    </row>
    <row r="70" spans="1:6" ht="12.75" customHeight="1">
      <c r="A70" s="104"/>
      <c r="B70" s="170" t="s">
        <v>6</v>
      </c>
      <c r="C70" s="171"/>
      <c r="D70" s="67">
        <f>IF(E70=0,0,SUMIF(detalle32!T:T,29,detalle32!R:R)/SUMIF(detalle32!T:T,29,detalle32!D:D))</f>
        <v>0</v>
      </c>
      <c r="E70" s="37">
        <f>COUNTIF(detalle32!T:T,29)</f>
        <v>0</v>
      </c>
      <c r="F70" s="85">
        <f>SUMIF(detalle32!T:T,29,detalle32!D:D)</f>
        <v>0</v>
      </c>
    </row>
    <row r="71" spans="1:6" ht="12.75" customHeight="1" thickBot="1">
      <c r="A71" s="172" t="s">
        <v>27</v>
      </c>
      <c r="B71" s="173"/>
      <c r="C71" s="174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IF(D73=0,0,(SUMIF(detalle32!O:O,"&gt;90",detalle32!R:R)/SUMIF(detalle32!O:O,"&gt;90",detalle32!D:D)))-IF(D71="",0,D71)</f>
        <v>0</v>
      </c>
      <c r="E72" s="72">
        <f>COUNTIF(detalle32!O:O,"&gt;90")-E71</f>
        <v>0</v>
      </c>
      <c r="F72" s="72">
        <f>SUMIF(detalle32!O:O,"&gt;90",detalle32!D:D)-F71</f>
        <v>0</v>
      </c>
    </row>
    <row r="73" spans="4:6" ht="12.75" customHeight="1">
      <c r="D73" s="113">
        <f>SUMIF(detalle32!O:O,"&gt;90",detalle32!D:D)</f>
        <v>0</v>
      </c>
      <c r="E73" s="34"/>
      <c r="F73" s="34"/>
    </row>
    <row r="74" s="18" customFormat="1" ht="13.5" thickBot="1">
      <c r="A74" s="1" t="s">
        <v>63</v>
      </c>
    </row>
    <row r="75" spans="1:7" ht="12.75" customHeight="1">
      <c r="A75" s="186" t="s">
        <v>64</v>
      </c>
      <c r="B75" s="187"/>
      <c r="C75" s="188"/>
      <c r="D75" s="192" t="s">
        <v>65</v>
      </c>
      <c r="E75" s="193"/>
      <c r="F75" s="193"/>
      <c r="G75" s="194"/>
    </row>
    <row r="76" spans="1:7" ht="12.75" customHeight="1">
      <c r="A76" s="189"/>
      <c r="B76" s="190"/>
      <c r="C76" s="191"/>
      <c r="D76" s="60" t="s">
        <v>51</v>
      </c>
      <c r="E76" s="22" t="s">
        <v>13</v>
      </c>
      <c r="F76" s="22" t="s">
        <v>33</v>
      </c>
      <c r="G76" s="74" t="s">
        <v>13</v>
      </c>
    </row>
    <row r="77" spans="1:7" ht="12.75" customHeight="1">
      <c r="A77" s="105"/>
      <c r="B77" s="166" t="s">
        <v>9</v>
      </c>
      <c r="C77" s="167"/>
      <c r="D77" s="39">
        <f>COUNTIF(detalle32!O:O,"&lt;=30")</f>
        <v>0</v>
      </c>
      <c r="E77" s="40">
        <f>IF($D$81=0,0,D77*100/$D$81)</f>
        <v>0</v>
      </c>
      <c r="F77" s="26">
        <f>SUMIF(detalle32!O:O,"&lt;=30",detalle32!D:D)</f>
        <v>0</v>
      </c>
      <c r="G77" s="88">
        <f>IF($F$81=0,0,F77*100/$F$81)</f>
        <v>0</v>
      </c>
    </row>
    <row r="78" spans="1:7" ht="12.75" customHeight="1">
      <c r="A78" s="98"/>
      <c r="B78" s="168" t="s">
        <v>10</v>
      </c>
      <c r="C78" s="169"/>
      <c r="D78" s="39">
        <f>COUNTIF(detalle32!O:O,"&lt;=60")-D77</f>
        <v>0</v>
      </c>
      <c r="E78" s="40">
        <f>IF($D$81=0,0,D78*100/$D$81)</f>
        <v>0</v>
      </c>
      <c r="F78" s="26">
        <f>SUMIF(detalle32!O:O,"&lt;=60",detalle32!D:D)-F77</f>
        <v>0</v>
      </c>
      <c r="G78" s="88">
        <f>IF($F$81=0,0,F78*100/$F$81)</f>
        <v>0</v>
      </c>
    </row>
    <row r="79" spans="1:7" ht="12.75" customHeight="1">
      <c r="A79" s="98"/>
      <c r="B79" s="195" t="s">
        <v>11</v>
      </c>
      <c r="C79" s="196"/>
      <c r="D79" s="39">
        <f>COUNTIF(detalle32!O:O,"&lt;=90")-SUM(D77:D78)</f>
        <v>0</v>
      </c>
      <c r="E79" s="40">
        <f>IF($D$81=0,0,D79*100/$D$81)</f>
        <v>0</v>
      </c>
      <c r="F79" s="26">
        <f>SUMIF(detalle32!O:O,"&lt;=90",detalle32!D:D)-SUM(F77:F78)</f>
        <v>0</v>
      </c>
      <c r="G79" s="88">
        <f>IF($F$81=0,0,F79*100/$F$81)</f>
        <v>0</v>
      </c>
    </row>
    <row r="80" spans="1:7" ht="12.75" customHeight="1">
      <c r="A80" s="98"/>
      <c r="B80" s="195" t="s">
        <v>12</v>
      </c>
      <c r="C80" s="196"/>
      <c r="D80" s="39">
        <f>COUNTIF(detalle32!O:O,"&gt;90")</f>
        <v>0</v>
      </c>
      <c r="E80" s="40">
        <f>IF($D$81=0,0,D80*100/$D$81)</f>
        <v>0</v>
      </c>
      <c r="F80" s="26">
        <f>SUMIF(detalle32!O:O,"&gt;90",detalle32!D:D)</f>
        <v>0</v>
      </c>
      <c r="G80" s="88">
        <f>IF($F$81=0,0,F80*100/$F$81)</f>
        <v>0</v>
      </c>
    </row>
    <row r="81" spans="1:7" ht="12.75" customHeight="1" thickBot="1">
      <c r="A81" s="177" t="s">
        <v>27</v>
      </c>
      <c r="B81" s="178"/>
      <c r="C81" s="179"/>
      <c r="D81" s="77">
        <f>SUM(D77:D80)</f>
        <v>0</v>
      </c>
      <c r="E81" s="89">
        <f>SUM(E77:E80)</f>
        <v>0</v>
      </c>
      <c r="F81" s="78">
        <f>SUM(F77:F80)</f>
        <v>0</v>
      </c>
      <c r="G81" s="90">
        <f>SUM(G77:G80)</f>
        <v>0</v>
      </c>
    </row>
    <row r="82" spans="1:7" ht="12.75" customHeight="1">
      <c r="A82" s="33"/>
      <c r="B82" s="33"/>
      <c r="C82" s="33"/>
      <c r="D82" s="72">
        <f>COUNT(detalle32!D:D)-D81</f>
        <v>0</v>
      </c>
      <c r="E82" s="72"/>
      <c r="F82" s="72">
        <f>SUM(detalle32!D:D)-F81</f>
        <v>0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66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80" t="s">
        <v>67</v>
      </c>
      <c r="B88" s="181"/>
      <c r="C88" s="182"/>
      <c r="D88" s="164" t="s">
        <v>68</v>
      </c>
      <c r="E88" s="165"/>
      <c r="F88" s="164" t="s">
        <v>71</v>
      </c>
      <c r="G88" s="165"/>
      <c r="H88" s="159" t="s">
        <v>72</v>
      </c>
    </row>
    <row r="89" spans="1:8" ht="12.75" customHeight="1">
      <c r="A89" s="183"/>
      <c r="B89" s="184"/>
      <c r="C89" s="185"/>
      <c r="D89" s="68" t="s">
        <v>69</v>
      </c>
      <c r="E89" s="69" t="s">
        <v>70</v>
      </c>
      <c r="F89" s="68" t="str">
        <f>+D89</f>
        <v>Ratio</v>
      </c>
      <c r="G89" s="69" t="str">
        <f>+E89</f>
        <v>Importe</v>
      </c>
      <c r="H89" s="160"/>
    </row>
    <row r="90" spans="1:8" ht="12.75" customHeight="1" thickBot="1">
      <c r="A90" s="161" t="str">
        <f>D3</f>
        <v>OARSOALDEA</v>
      </c>
      <c r="B90" s="162"/>
      <c r="C90" s="163"/>
      <c r="D90" s="91">
        <f>IF((SUM(detalle1!D:D)+G24+I24)=0,0,(SUM(detalle1!U:U)+D24*(G24+I24))/(SUM(detalle1!D:D)+G24+I24))</f>
        <v>-23.585939360520854</v>
      </c>
      <c r="E90" s="92">
        <f>SUM(detalle1!D:D)+G24+I24</f>
        <v>160825.26000000004</v>
      </c>
      <c r="F90" s="91">
        <f>IF((SUM(detalle2!D:D)+SUM(detalle32!D:D)+G56+I56)=0,0,(SUM(detalle2!U:U)+SUM(detalle32!S:S)+D56*(G56+I56))/(SUM(detalle2!D:D)+SUM(detalle32!D:D)+G56+I56))</f>
        <v>0</v>
      </c>
      <c r="G90" s="92">
        <f>SUM(detalle2!D:D)+SUM(detalle32!D:D)+G56+I56</f>
        <v>0</v>
      </c>
      <c r="H90" s="93">
        <f>IF(E90=0,F90,IF(G90=0,D90,(D90*E90+F90*G90)/(E90+G90)))</f>
        <v>-23.585939360520854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IF(H92=0,0,(SUM(detalle1!U:U)+SUM(detalle2!U:U)+SUM(detalle32!S:S)+D24*(G24+I24)+D56*(G56+I56))/(SUM(detalle1!D:D)+SUM(detalle2!D:D)+SUM(detalle32!D:D)+G24+I24+G56+I56))-IF(H90="",0,H90)</f>
        <v>0</v>
      </c>
    </row>
    <row r="92" spans="1:8" ht="12.75" customHeight="1" thickBot="1">
      <c r="A92" s="4" t="s">
        <v>73</v>
      </c>
      <c r="E92" s="34"/>
      <c r="F92" s="34"/>
      <c r="G92" s="34"/>
      <c r="H92" s="114">
        <f>(SUM(detalle1!D:D)+SUM(detalle2!D:D)+SUM(detalle32!D:D)+G24+I24+G56+I56)</f>
        <v>160825.26000000004</v>
      </c>
    </row>
    <row r="93" spans="2:8" ht="43.5" customHeight="1" thickBot="1">
      <c r="B93" s="175"/>
      <c r="C93" s="176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D31:G31"/>
    <mergeCell ref="B33:C33"/>
    <mergeCell ref="B34:C34"/>
    <mergeCell ref="B36:C36"/>
    <mergeCell ref="F45:I45"/>
    <mergeCell ref="D46:E46"/>
    <mergeCell ref="F46:G46"/>
    <mergeCell ref="H46:I46"/>
    <mergeCell ref="B37:C37"/>
    <mergeCell ref="A38:C38"/>
    <mergeCell ref="A58:C58"/>
    <mergeCell ref="A67:C67"/>
    <mergeCell ref="A45:C47"/>
    <mergeCell ref="D45:E45"/>
    <mergeCell ref="A48:C48"/>
    <mergeCell ref="A54:C54"/>
    <mergeCell ref="A56:C56"/>
    <mergeCell ref="B57:C57"/>
    <mergeCell ref="B93:C93"/>
    <mergeCell ref="A81:C81"/>
    <mergeCell ref="A88:C89"/>
    <mergeCell ref="A75:C76"/>
    <mergeCell ref="D75:G75"/>
    <mergeCell ref="F88:G88"/>
    <mergeCell ref="B77:C77"/>
    <mergeCell ref="B78:C78"/>
    <mergeCell ref="B79:C79"/>
    <mergeCell ref="B80:C80"/>
    <mergeCell ref="H88:H89"/>
    <mergeCell ref="A90:C90"/>
    <mergeCell ref="D88:E88"/>
    <mergeCell ref="B68:C68"/>
    <mergeCell ref="B69:C69"/>
    <mergeCell ref="B70:C70"/>
    <mergeCell ref="A71:C71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380"/>
  <sheetViews>
    <sheetView tabSelected="1" zoomScalePageLayoutView="0" workbookViewId="0" topLeftCell="A1">
      <selection activeCell="A6" sqref="A6:IV187"/>
    </sheetView>
  </sheetViews>
  <sheetFormatPr defaultColWidth="9.140625" defaultRowHeight="12.75"/>
  <cols>
    <col min="1" max="1" width="13.7109375" style="2" customWidth="1"/>
    <col min="2" max="2" width="11.421875" style="14" bestFit="1" customWidth="1"/>
    <col min="3" max="3" width="18.28125" style="128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4" width="10.140625" style="14" bestFit="1" customWidth="1"/>
    <col min="15" max="15" width="7.140625" style="9" bestFit="1" customWidth="1"/>
    <col min="16" max="16" width="6.57421875" style="9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77</v>
      </c>
      <c r="G2" s="131"/>
    </row>
    <row r="3" spans="1:10" ht="11.25">
      <c r="A3" s="3" t="s">
        <v>79</v>
      </c>
      <c r="B3" s="16"/>
      <c r="C3" s="129"/>
      <c r="D3" s="127" t="s">
        <v>78</v>
      </c>
      <c r="E3" s="4"/>
      <c r="F3" s="4"/>
      <c r="G3" s="4"/>
      <c r="H3" s="4"/>
      <c r="I3" s="4"/>
      <c r="J3" s="4"/>
    </row>
    <row r="4" spans="13:14" ht="11.25">
      <c r="M4" s="14" t="s">
        <v>87</v>
      </c>
      <c r="N4" s="14" t="s">
        <v>88</v>
      </c>
    </row>
    <row r="5" spans="1:22" ht="22.5">
      <c r="A5" s="5" t="s">
        <v>80</v>
      </c>
      <c r="B5" s="17" t="s">
        <v>81</v>
      </c>
      <c r="C5" s="130" t="s">
        <v>82</v>
      </c>
      <c r="D5" s="116" t="s">
        <v>70</v>
      </c>
      <c r="E5" s="5" t="s">
        <v>83</v>
      </c>
      <c r="F5" s="125" t="s">
        <v>84</v>
      </c>
      <c r="G5" s="125" t="s">
        <v>85</v>
      </c>
      <c r="H5" s="6" t="s">
        <v>16</v>
      </c>
      <c r="I5" s="6" t="s">
        <v>17</v>
      </c>
      <c r="J5" s="6" t="s">
        <v>15</v>
      </c>
      <c r="K5" s="117" t="s">
        <v>86</v>
      </c>
      <c r="L5" s="15" t="s">
        <v>89</v>
      </c>
      <c r="M5" s="117" t="s">
        <v>90</v>
      </c>
      <c r="N5" s="117" t="s">
        <v>91</v>
      </c>
      <c r="O5" s="10" t="s">
        <v>92</v>
      </c>
      <c r="P5" s="11" t="s">
        <v>93</v>
      </c>
      <c r="Q5" s="12" t="s">
        <v>94</v>
      </c>
      <c r="R5" s="13" t="s">
        <v>72</v>
      </c>
      <c r="S5" s="132" t="s">
        <v>95</v>
      </c>
      <c r="T5" s="8" t="s">
        <v>96</v>
      </c>
      <c r="U5" s="8" t="s">
        <v>97</v>
      </c>
      <c r="V5" s="134" t="s">
        <v>98</v>
      </c>
    </row>
    <row r="6" spans="1:22" s="139" customFormat="1" ht="12.75">
      <c r="A6" s="136" t="s">
        <v>116</v>
      </c>
      <c r="B6" s="137">
        <v>42490</v>
      </c>
      <c r="C6" s="136" t="s">
        <v>117</v>
      </c>
      <c r="D6" s="138">
        <v>2640</v>
      </c>
      <c r="F6" s="140"/>
      <c r="J6" s="141"/>
      <c r="K6" s="142">
        <v>42490</v>
      </c>
      <c r="L6" s="142"/>
      <c r="M6" s="137">
        <f>+N6</f>
        <v>42490</v>
      </c>
      <c r="N6" s="137">
        <v>42490</v>
      </c>
      <c r="O6" s="143">
        <f>+M6-K6</f>
        <v>0</v>
      </c>
      <c r="P6" s="143">
        <f>+N6-M6</f>
        <v>0</v>
      </c>
      <c r="Q6" s="143">
        <f>+N6-K6</f>
        <v>0</v>
      </c>
      <c r="R6" s="143">
        <f>+Q6-30</f>
        <v>-30</v>
      </c>
      <c r="S6" s="139">
        <v>29</v>
      </c>
      <c r="T6" s="144">
        <f>+P6*D6</f>
        <v>0</v>
      </c>
      <c r="U6" s="144">
        <f>+R6*D6</f>
        <v>-79200</v>
      </c>
      <c r="V6" s="141">
        <f>IF(P6&lt;30,200+S6,100+S6)</f>
        <v>229</v>
      </c>
    </row>
    <row r="7" spans="1:22" s="139" customFormat="1" ht="12.75">
      <c r="A7" s="136" t="s">
        <v>118</v>
      </c>
      <c r="B7" s="137">
        <v>42519</v>
      </c>
      <c r="C7" s="136" t="s">
        <v>119</v>
      </c>
      <c r="D7" s="138">
        <v>2640</v>
      </c>
      <c r="J7" s="141"/>
      <c r="K7" s="142">
        <v>42519</v>
      </c>
      <c r="L7" s="142"/>
      <c r="M7" s="137">
        <f>+N7</f>
        <v>42519</v>
      </c>
      <c r="N7" s="137">
        <v>42519</v>
      </c>
      <c r="O7" s="143">
        <f aca="true" t="shared" si="0" ref="O7:O70">+M7-K7</f>
        <v>0</v>
      </c>
      <c r="P7" s="143">
        <f aca="true" t="shared" si="1" ref="P7:P70">+N7-M7</f>
        <v>0</v>
      </c>
      <c r="Q7" s="143">
        <f aca="true" t="shared" si="2" ref="Q7:Q70">+N7-K7</f>
        <v>0</v>
      </c>
      <c r="R7" s="143">
        <f aca="true" t="shared" si="3" ref="R7:R70">+Q7-30</f>
        <v>-30</v>
      </c>
      <c r="S7" s="139">
        <v>29</v>
      </c>
      <c r="T7" s="144">
        <f aca="true" t="shared" si="4" ref="T7:T70">+P7*D7</f>
        <v>0</v>
      </c>
      <c r="U7" s="144">
        <f aca="true" t="shared" si="5" ref="U7:U70">+R7*D7</f>
        <v>-79200</v>
      </c>
      <c r="V7" s="141">
        <f aca="true" t="shared" si="6" ref="V7:V70">IF(P7&lt;30,200+S7,100+S7)</f>
        <v>229</v>
      </c>
    </row>
    <row r="8" spans="1:22" s="139" customFormat="1" ht="12.75">
      <c r="A8" s="136" t="s">
        <v>120</v>
      </c>
      <c r="B8" s="137">
        <v>42550</v>
      </c>
      <c r="C8" s="136" t="s">
        <v>124</v>
      </c>
      <c r="D8" s="138">
        <v>2640</v>
      </c>
      <c r="J8" s="141"/>
      <c r="K8" s="142">
        <v>42550</v>
      </c>
      <c r="L8" s="142"/>
      <c r="M8" s="137">
        <f>+N8</f>
        <v>42550</v>
      </c>
      <c r="N8" s="137">
        <v>42550</v>
      </c>
      <c r="O8" s="143">
        <f t="shared" si="0"/>
        <v>0</v>
      </c>
      <c r="P8" s="143">
        <f t="shared" si="1"/>
        <v>0</v>
      </c>
      <c r="Q8" s="143">
        <f t="shared" si="2"/>
        <v>0</v>
      </c>
      <c r="R8" s="143">
        <f t="shared" si="3"/>
        <v>-30</v>
      </c>
      <c r="S8" s="139">
        <v>29</v>
      </c>
      <c r="T8" s="144">
        <f t="shared" si="4"/>
        <v>0</v>
      </c>
      <c r="U8" s="144">
        <f t="shared" si="5"/>
        <v>-79200</v>
      </c>
      <c r="V8" s="141">
        <f t="shared" si="6"/>
        <v>229</v>
      </c>
    </row>
    <row r="9" spans="1:22" s="139" customFormat="1" ht="12.75">
      <c r="A9" s="136" t="s">
        <v>121</v>
      </c>
      <c r="B9" s="137">
        <v>42490</v>
      </c>
      <c r="C9" s="136" t="s">
        <v>117</v>
      </c>
      <c r="D9" s="138">
        <v>2622.86</v>
      </c>
      <c r="K9" s="142">
        <v>42490</v>
      </c>
      <c r="L9" s="142"/>
      <c r="M9" s="137">
        <f>+N9</f>
        <v>42492</v>
      </c>
      <c r="N9" s="137">
        <v>42492</v>
      </c>
      <c r="O9" s="143">
        <f t="shared" si="0"/>
        <v>2</v>
      </c>
      <c r="P9" s="143">
        <f t="shared" si="1"/>
        <v>0</v>
      </c>
      <c r="Q9" s="143">
        <f t="shared" si="2"/>
        <v>2</v>
      </c>
      <c r="R9" s="143">
        <f t="shared" si="3"/>
        <v>-28</v>
      </c>
      <c r="S9" s="245">
        <v>29</v>
      </c>
      <c r="T9" s="144">
        <f t="shared" si="4"/>
        <v>0</v>
      </c>
      <c r="U9" s="144">
        <f t="shared" si="5"/>
        <v>-73440.08</v>
      </c>
      <c r="V9" s="141">
        <f t="shared" si="6"/>
        <v>229</v>
      </c>
    </row>
    <row r="10" spans="1:22" s="139" customFormat="1" ht="12.75">
      <c r="A10" s="136" t="s">
        <v>122</v>
      </c>
      <c r="B10" s="137">
        <v>42519</v>
      </c>
      <c r="C10" s="136" t="s">
        <v>119</v>
      </c>
      <c r="D10" s="138">
        <v>2622.86</v>
      </c>
      <c r="K10" s="142">
        <v>42519</v>
      </c>
      <c r="L10" s="142"/>
      <c r="M10" s="137">
        <f>+N10</f>
        <v>42520</v>
      </c>
      <c r="N10" s="137">
        <v>42520</v>
      </c>
      <c r="O10" s="143">
        <f t="shared" si="0"/>
        <v>1</v>
      </c>
      <c r="P10" s="143">
        <f t="shared" si="1"/>
        <v>0</v>
      </c>
      <c r="Q10" s="143">
        <f t="shared" si="2"/>
        <v>1</v>
      </c>
      <c r="R10" s="143">
        <f t="shared" si="3"/>
        <v>-29</v>
      </c>
      <c r="S10" s="245">
        <v>29</v>
      </c>
      <c r="T10" s="144">
        <f t="shared" si="4"/>
        <v>0</v>
      </c>
      <c r="U10" s="144">
        <f t="shared" si="5"/>
        <v>-76062.94</v>
      </c>
      <c r="V10" s="141">
        <f t="shared" si="6"/>
        <v>229</v>
      </c>
    </row>
    <row r="11" spans="1:22" s="139" customFormat="1" ht="12.75">
      <c r="A11" s="136" t="s">
        <v>123</v>
      </c>
      <c r="B11" s="137">
        <v>42519</v>
      </c>
      <c r="C11" s="136" t="s">
        <v>124</v>
      </c>
      <c r="D11" s="138">
        <v>540</v>
      </c>
      <c r="K11" s="142">
        <v>42519</v>
      </c>
      <c r="L11" s="142"/>
      <c r="M11" s="137">
        <f>+N11</f>
        <v>42520</v>
      </c>
      <c r="N11" s="137">
        <v>42520</v>
      </c>
      <c r="O11" s="143">
        <f t="shared" si="0"/>
        <v>1</v>
      </c>
      <c r="P11" s="143">
        <f t="shared" si="1"/>
        <v>0</v>
      </c>
      <c r="Q11" s="143">
        <f t="shared" si="2"/>
        <v>1</v>
      </c>
      <c r="R11" s="143">
        <f t="shared" si="3"/>
        <v>-29</v>
      </c>
      <c r="S11" s="245">
        <v>29</v>
      </c>
      <c r="T11" s="144">
        <f t="shared" si="4"/>
        <v>0</v>
      </c>
      <c r="U11" s="144">
        <f t="shared" si="5"/>
        <v>-15660</v>
      </c>
      <c r="V11" s="141">
        <f t="shared" si="6"/>
        <v>229</v>
      </c>
    </row>
    <row r="12" spans="1:22" s="139" customFormat="1" ht="12.75">
      <c r="A12" s="136" t="s">
        <v>125</v>
      </c>
      <c r="B12" s="137">
        <v>42461</v>
      </c>
      <c r="C12" s="136" t="s">
        <v>126</v>
      </c>
      <c r="D12" s="138">
        <v>54.68</v>
      </c>
      <c r="E12" s="145"/>
      <c r="F12" s="136"/>
      <c r="G12" s="146"/>
      <c r="H12" s="146"/>
      <c r="K12" s="142">
        <v>42461</v>
      </c>
      <c r="L12" s="142"/>
      <c r="M12" s="137">
        <f>+N12</f>
        <v>42461</v>
      </c>
      <c r="N12" s="137">
        <v>42461</v>
      </c>
      <c r="O12" s="143">
        <f t="shared" si="0"/>
        <v>0</v>
      </c>
      <c r="P12" s="143">
        <f t="shared" si="1"/>
        <v>0</v>
      </c>
      <c r="Q12" s="143">
        <f t="shared" si="2"/>
        <v>0</v>
      </c>
      <c r="R12" s="143">
        <f t="shared" si="3"/>
        <v>-30</v>
      </c>
      <c r="S12" s="245">
        <v>21</v>
      </c>
      <c r="T12" s="144">
        <f t="shared" si="4"/>
        <v>0</v>
      </c>
      <c r="U12" s="144">
        <f t="shared" si="5"/>
        <v>-1640.4</v>
      </c>
      <c r="V12" s="141">
        <f t="shared" si="6"/>
        <v>221</v>
      </c>
    </row>
    <row r="13" spans="1:22" s="139" customFormat="1" ht="12.75">
      <c r="A13" s="136" t="s">
        <v>127</v>
      </c>
      <c r="B13" s="137">
        <v>42466</v>
      </c>
      <c r="C13" s="136" t="s">
        <v>128</v>
      </c>
      <c r="D13" s="138">
        <v>34.68</v>
      </c>
      <c r="E13" s="145"/>
      <c r="F13" s="136"/>
      <c r="G13" s="136"/>
      <c r="H13" s="136"/>
      <c r="K13" s="142">
        <v>42473</v>
      </c>
      <c r="L13" s="142"/>
      <c r="M13" s="137">
        <f>+N13</f>
        <v>42474</v>
      </c>
      <c r="N13" s="137">
        <v>42474</v>
      </c>
      <c r="O13" s="143">
        <f t="shared" si="0"/>
        <v>1</v>
      </c>
      <c r="P13" s="143">
        <f t="shared" si="1"/>
        <v>0</v>
      </c>
      <c r="Q13" s="143">
        <f t="shared" si="2"/>
        <v>1</v>
      </c>
      <c r="R13" s="143">
        <f t="shared" si="3"/>
        <v>-29</v>
      </c>
      <c r="S13" s="245">
        <v>29</v>
      </c>
      <c r="T13" s="144">
        <f t="shared" si="4"/>
        <v>0</v>
      </c>
      <c r="U13" s="144">
        <f t="shared" si="5"/>
        <v>-1005.72</v>
      </c>
      <c r="V13" s="141">
        <f t="shared" si="6"/>
        <v>229</v>
      </c>
    </row>
    <row r="14" spans="1:22" s="139" customFormat="1" ht="12.75">
      <c r="A14" s="136" t="s">
        <v>129</v>
      </c>
      <c r="B14" s="137">
        <v>42471</v>
      </c>
      <c r="C14" s="136" t="s">
        <v>130</v>
      </c>
      <c r="D14" s="138">
        <v>25.49</v>
      </c>
      <c r="E14" s="145"/>
      <c r="F14" s="147"/>
      <c r="K14" s="142">
        <v>42471</v>
      </c>
      <c r="L14" s="142"/>
      <c r="M14" s="137">
        <f>+N14</f>
        <v>42471</v>
      </c>
      <c r="N14" s="137">
        <v>42471</v>
      </c>
      <c r="O14" s="143">
        <f t="shared" si="0"/>
        <v>0</v>
      </c>
      <c r="P14" s="143">
        <f t="shared" si="1"/>
        <v>0</v>
      </c>
      <c r="Q14" s="143">
        <f t="shared" si="2"/>
        <v>0</v>
      </c>
      <c r="R14" s="143">
        <f t="shared" si="3"/>
        <v>-30</v>
      </c>
      <c r="S14" s="245">
        <v>29</v>
      </c>
      <c r="T14" s="144">
        <f t="shared" si="4"/>
        <v>0</v>
      </c>
      <c r="U14" s="144">
        <f t="shared" si="5"/>
        <v>-764.6999999999999</v>
      </c>
      <c r="V14" s="141">
        <f t="shared" si="6"/>
        <v>229</v>
      </c>
    </row>
    <row r="15" spans="1:22" s="139" customFormat="1" ht="12.75">
      <c r="A15" s="136" t="s">
        <v>131</v>
      </c>
      <c r="B15" s="137">
        <v>42466</v>
      </c>
      <c r="C15" s="136" t="s">
        <v>132</v>
      </c>
      <c r="D15" s="138">
        <v>53.98</v>
      </c>
      <c r="E15" s="145"/>
      <c r="F15" s="147"/>
      <c r="K15" s="142">
        <v>42473</v>
      </c>
      <c r="L15" s="142"/>
      <c r="M15" s="137">
        <f>+N15</f>
        <v>42474</v>
      </c>
      <c r="N15" s="137">
        <v>42474</v>
      </c>
      <c r="O15" s="143">
        <f t="shared" si="0"/>
        <v>1</v>
      </c>
      <c r="P15" s="143">
        <f t="shared" si="1"/>
        <v>0</v>
      </c>
      <c r="Q15" s="143">
        <f t="shared" si="2"/>
        <v>1</v>
      </c>
      <c r="R15" s="143">
        <f t="shared" si="3"/>
        <v>-29</v>
      </c>
      <c r="S15" s="245">
        <v>29</v>
      </c>
      <c r="T15" s="144">
        <f t="shared" si="4"/>
        <v>0</v>
      </c>
      <c r="U15" s="144">
        <f t="shared" si="5"/>
        <v>-1565.4199999999998</v>
      </c>
      <c r="V15" s="141">
        <f t="shared" si="6"/>
        <v>229</v>
      </c>
    </row>
    <row r="16" spans="1:22" s="139" customFormat="1" ht="12.75">
      <c r="A16" s="136" t="s">
        <v>133</v>
      </c>
      <c r="B16" s="137">
        <v>42466</v>
      </c>
      <c r="C16" s="136" t="s">
        <v>134</v>
      </c>
      <c r="D16" s="138">
        <v>53.95</v>
      </c>
      <c r="E16" s="145"/>
      <c r="F16" s="147"/>
      <c r="K16" s="142">
        <v>42473</v>
      </c>
      <c r="L16" s="142"/>
      <c r="M16" s="137">
        <f>+N16</f>
        <v>42474</v>
      </c>
      <c r="N16" s="137">
        <v>42474</v>
      </c>
      <c r="O16" s="143">
        <f t="shared" si="0"/>
        <v>1</v>
      </c>
      <c r="P16" s="143">
        <f t="shared" si="1"/>
        <v>0</v>
      </c>
      <c r="Q16" s="143">
        <f t="shared" si="2"/>
        <v>1</v>
      </c>
      <c r="R16" s="143">
        <f t="shared" si="3"/>
        <v>-29</v>
      </c>
      <c r="S16" s="245">
        <v>29</v>
      </c>
      <c r="T16" s="144">
        <f t="shared" si="4"/>
        <v>0</v>
      </c>
      <c r="U16" s="144">
        <f t="shared" si="5"/>
        <v>-1564.5500000000002</v>
      </c>
      <c r="V16" s="141">
        <f t="shared" si="6"/>
        <v>229</v>
      </c>
    </row>
    <row r="17" spans="1:22" s="139" customFormat="1" ht="12.75">
      <c r="A17" s="136" t="s">
        <v>135</v>
      </c>
      <c r="B17" s="137">
        <v>42466</v>
      </c>
      <c r="C17" s="136" t="s">
        <v>136</v>
      </c>
      <c r="D17" s="138">
        <v>45.24</v>
      </c>
      <c r="E17" s="145"/>
      <c r="F17" s="147"/>
      <c r="K17" s="142">
        <v>42473</v>
      </c>
      <c r="L17" s="142"/>
      <c r="M17" s="137">
        <f>+N17</f>
        <v>42474</v>
      </c>
      <c r="N17" s="137">
        <v>42474</v>
      </c>
      <c r="O17" s="143">
        <f t="shared" si="0"/>
        <v>1</v>
      </c>
      <c r="P17" s="143">
        <f t="shared" si="1"/>
        <v>0</v>
      </c>
      <c r="Q17" s="143">
        <f t="shared" si="2"/>
        <v>1</v>
      </c>
      <c r="R17" s="143">
        <f t="shared" si="3"/>
        <v>-29</v>
      </c>
      <c r="S17" s="245">
        <v>29</v>
      </c>
      <c r="T17" s="144">
        <f t="shared" si="4"/>
        <v>0</v>
      </c>
      <c r="U17" s="144">
        <f t="shared" si="5"/>
        <v>-1311.96</v>
      </c>
      <c r="V17" s="141">
        <f t="shared" si="6"/>
        <v>229</v>
      </c>
    </row>
    <row r="18" spans="1:22" s="139" customFormat="1" ht="12.75">
      <c r="A18" s="136" t="s">
        <v>137</v>
      </c>
      <c r="B18" s="137">
        <v>42461</v>
      </c>
      <c r="C18" s="136" t="s">
        <v>138</v>
      </c>
      <c r="D18" s="138">
        <v>122.26</v>
      </c>
      <c r="E18" s="145"/>
      <c r="F18" s="147"/>
      <c r="K18" s="142">
        <v>42473</v>
      </c>
      <c r="L18" s="142"/>
      <c r="M18" s="137">
        <f>+N18</f>
        <v>42475</v>
      </c>
      <c r="N18" s="137">
        <v>42475</v>
      </c>
      <c r="O18" s="143">
        <f t="shared" si="0"/>
        <v>2</v>
      </c>
      <c r="P18" s="143">
        <f t="shared" si="1"/>
        <v>0</v>
      </c>
      <c r="Q18" s="143">
        <f t="shared" si="2"/>
        <v>2</v>
      </c>
      <c r="R18" s="143">
        <f t="shared" si="3"/>
        <v>-28</v>
      </c>
      <c r="S18" s="245">
        <v>29</v>
      </c>
      <c r="T18" s="144">
        <f t="shared" si="4"/>
        <v>0</v>
      </c>
      <c r="U18" s="144">
        <f t="shared" si="5"/>
        <v>-3423.28</v>
      </c>
      <c r="V18" s="141">
        <f t="shared" si="6"/>
        <v>229</v>
      </c>
    </row>
    <row r="19" spans="1:22" s="139" customFormat="1" ht="12.75">
      <c r="A19" s="136" t="s">
        <v>139</v>
      </c>
      <c r="B19" s="137">
        <v>42463</v>
      </c>
      <c r="C19" s="136" t="s">
        <v>141</v>
      </c>
      <c r="D19" s="138">
        <v>207.45</v>
      </c>
      <c r="E19" s="145"/>
      <c r="F19" s="147"/>
      <c r="K19" s="142">
        <v>42468</v>
      </c>
      <c r="L19" s="142"/>
      <c r="M19" s="137">
        <f>+N19</f>
        <v>42468</v>
      </c>
      <c r="N19" s="137">
        <v>42468</v>
      </c>
      <c r="O19" s="143">
        <f t="shared" si="0"/>
        <v>0</v>
      </c>
      <c r="P19" s="143">
        <f t="shared" si="1"/>
        <v>0</v>
      </c>
      <c r="Q19" s="143">
        <f t="shared" si="2"/>
        <v>0</v>
      </c>
      <c r="R19" s="143">
        <f t="shared" si="3"/>
        <v>-30</v>
      </c>
      <c r="S19" s="245">
        <v>29</v>
      </c>
      <c r="T19" s="144">
        <f t="shared" si="4"/>
        <v>0</v>
      </c>
      <c r="U19" s="144">
        <f t="shared" si="5"/>
        <v>-6223.5</v>
      </c>
      <c r="V19" s="141">
        <f t="shared" si="6"/>
        <v>229</v>
      </c>
    </row>
    <row r="20" spans="1:22" s="139" customFormat="1" ht="12.75">
      <c r="A20" s="136" t="s">
        <v>140</v>
      </c>
      <c r="B20" s="137">
        <v>42463</v>
      </c>
      <c r="C20" s="136" t="s">
        <v>142</v>
      </c>
      <c r="D20" s="138">
        <v>464.35</v>
      </c>
      <c r="E20" s="145"/>
      <c r="F20" s="147"/>
      <c r="K20" s="142">
        <v>42468</v>
      </c>
      <c r="L20" s="142"/>
      <c r="M20" s="137">
        <f>+N20</f>
        <v>42468</v>
      </c>
      <c r="N20" s="137">
        <v>42468</v>
      </c>
      <c r="O20" s="143">
        <f t="shared" si="0"/>
        <v>0</v>
      </c>
      <c r="P20" s="143">
        <f t="shared" si="1"/>
        <v>0</v>
      </c>
      <c r="Q20" s="143">
        <f t="shared" si="2"/>
        <v>0</v>
      </c>
      <c r="R20" s="143">
        <f t="shared" si="3"/>
        <v>-30</v>
      </c>
      <c r="S20" s="245">
        <v>29</v>
      </c>
      <c r="T20" s="144">
        <f t="shared" si="4"/>
        <v>0</v>
      </c>
      <c r="U20" s="144">
        <f t="shared" si="5"/>
        <v>-13930.5</v>
      </c>
      <c r="V20" s="141">
        <f t="shared" si="6"/>
        <v>229</v>
      </c>
    </row>
    <row r="21" spans="1:22" s="139" customFormat="1" ht="12.75">
      <c r="A21" s="136" t="s">
        <v>143</v>
      </c>
      <c r="B21" s="137">
        <v>42463</v>
      </c>
      <c r="C21" s="136" t="s">
        <v>145</v>
      </c>
      <c r="D21" s="138">
        <v>986.78</v>
      </c>
      <c r="E21" s="145"/>
      <c r="F21" s="147"/>
      <c r="K21" s="142">
        <v>42468</v>
      </c>
      <c r="L21" s="142"/>
      <c r="M21" s="137">
        <f>+N21</f>
        <v>42468</v>
      </c>
      <c r="N21" s="137">
        <v>42468</v>
      </c>
      <c r="O21" s="143">
        <f t="shared" si="0"/>
        <v>0</v>
      </c>
      <c r="P21" s="143">
        <f t="shared" si="1"/>
        <v>0</v>
      </c>
      <c r="Q21" s="143">
        <f t="shared" si="2"/>
        <v>0</v>
      </c>
      <c r="R21" s="143">
        <f t="shared" si="3"/>
        <v>-30</v>
      </c>
      <c r="S21" s="245">
        <v>29</v>
      </c>
      <c r="T21" s="144">
        <f t="shared" si="4"/>
        <v>0</v>
      </c>
      <c r="U21" s="144">
        <f t="shared" si="5"/>
        <v>-29603.399999999998</v>
      </c>
      <c r="V21" s="141">
        <f t="shared" si="6"/>
        <v>229</v>
      </c>
    </row>
    <row r="22" spans="1:22" s="139" customFormat="1" ht="12.75">
      <c r="A22" s="136" t="s">
        <v>144</v>
      </c>
      <c r="B22" s="137">
        <v>42463</v>
      </c>
      <c r="C22" s="136" t="s">
        <v>146</v>
      </c>
      <c r="D22" s="138">
        <v>72.65</v>
      </c>
      <c r="E22" s="145"/>
      <c r="F22" s="147"/>
      <c r="K22" s="142">
        <v>42468</v>
      </c>
      <c r="L22" s="142"/>
      <c r="M22" s="137">
        <f>+N22</f>
        <v>42468</v>
      </c>
      <c r="N22" s="137">
        <v>42468</v>
      </c>
      <c r="O22" s="143">
        <f t="shared" si="0"/>
        <v>0</v>
      </c>
      <c r="P22" s="143">
        <f t="shared" si="1"/>
        <v>0</v>
      </c>
      <c r="Q22" s="143">
        <f t="shared" si="2"/>
        <v>0</v>
      </c>
      <c r="R22" s="143">
        <f t="shared" si="3"/>
        <v>-30</v>
      </c>
      <c r="S22" s="245">
        <v>29</v>
      </c>
      <c r="T22" s="144">
        <f t="shared" si="4"/>
        <v>0</v>
      </c>
      <c r="U22" s="144">
        <f t="shared" si="5"/>
        <v>-2179.5</v>
      </c>
      <c r="V22" s="141">
        <f t="shared" si="6"/>
        <v>229</v>
      </c>
    </row>
    <row r="23" spans="1:22" s="139" customFormat="1" ht="12.75">
      <c r="A23" s="136" t="s">
        <v>147</v>
      </c>
      <c r="B23" s="137">
        <v>42463</v>
      </c>
      <c r="C23" s="136" t="s">
        <v>148</v>
      </c>
      <c r="D23" s="138">
        <v>75.07</v>
      </c>
      <c r="E23" s="145"/>
      <c r="F23" s="147"/>
      <c r="K23" s="142">
        <v>42468</v>
      </c>
      <c r="L23" s="142"/>
      <c r="M23" s="137">
        <f>+N23</f>
        <v>42468</v>
      </c>
      <c r="N23" s="137">
        <v>42468</v>
      </c>
      <c r="O23" s="143">
        <f t="shared" si="0"/>
        <v>0</v>
      </c>
      <c r="P23" s="143">
        <f t="shared" si="1"/>
        <v>0</v>
      </c>
      <c r="Q23" s="143">
        <f t="shared" si="2"/>
        <v>0</v>
      </c>
      <c r="R23" s="143">
        <f t="shared" si="3"/>
        <v>-30</v>
      </c>
      <c r="S23" s="245">
        <v>29</v>
      </c>
      <c r="T23" s="144">
        <f t="shared" si="4"/>
        <v>0</v>
      </c>
      <c r="U23" s="144">
        <f t="shared" si="5"/>
        <v>-2252.1</v>
      </c>
      <c r="V23" s="141">
        <f t="shared" si="6"/>
        <v>229</v>
      </c>
    </row>
    <row r="24" spans="1:22" s="139" customFormat="1" ht="12.75">
      <c r="A24" s="136" t="s">
        <v>149</v>
      </c>
      <c r="B24" s="137">
        <v>42461</v>
      </c>
      <c r="C24" s="136" t="s">
        <v>150</v>
      </c>
      <c r="D24" s="138">
        <v>217.8</v>
      </c>
      <c r="E24" s="145"/>
      <c r="F24" s="147"/>
      <c r="K24" s="142">
        <v>42465</v>
      </c>
      <c r="L24" s="142"/>
      <c r="M24" s="137">
        <f>+N24</f>
        <v>42465</v>
      </c>
      <c r="N24" s="137">
        <v>42465</v>
      </c>
      <c r="O24" s="143">
        <f t="shared" si="0"/>
        <v>0</v>
      </c>
      <c r="P24" s="143">
        <f t="shared" si="1"/>
        <v>0</v>
      </c>
      <c r="Q24" s="143">
        <f t="shared" si="2"/>
        <v>0</v>
      </c>
      <c r="R24" s="143">
        <f t="shared" si="3"/>
        <v>-30</v>
      </c>
      <c r="S24" s="245">
        <v>20</v>
      </c>
      <c r="T24" s="144">
        <f t="shared" si="4"/>
        <v>0</v>
      </c>
      <c r="U24" s="144">
        <f t="shared" si="5"/>
        <v>-6534</v>
      </c>
      <c r="V24" s="141">
        <f t="shared" si="6"/>
        <v>220</v>
      </c>
    </row>
    <row r="25" spans="1:22" s="139" customFormat="1" ht="12.75">
      <c r="A25" s="136" t="s">
        <v>151</v>
      </c>
      <c r="B25" s="137">
        <v>42461</v>
      </c>
      <c r="C25" s="136" t="s">
        <v>152</v>
      </c>
      <c r="D25" s="138">
        <v>120.99</v>
      </c>
      <c r="E25" s="145"/>
      <c r="F25" s="147"/>
      <c r="K25" s="142">
        <v>42461</v>
      </c>
      <c r="L25" s="142"/>
      <c r="M25" s="137">
        <f>+N25</f>
        <v>42461</v>
      </c>
      <c r="N25" s="137">
        <v>42461</v>
      </c>
      <c r="O25" s="143">
        <f t="shared" si="0"/>
        <v>0</v>
      </c>
      <c r="P25" s="143">
        <f t="shared" si="1"/>
        <v>0</v>
      </c>
      <c r="Q25" s="143">
        <f t="shared" si="2"/>
        <v>0</v>
      </c>
      <c r="R25" s="143">
        <f t="shared" si="3"/>
        <v>-30</v>
      </c>
      <c r="S25" s="245">
        <v>29</v>
      </c>
      <c r="T25" s="144">
        <f t="shared" si="4"/>
        <v>0</v>
      </c>
      <c r="U25" s="144">
        <f t="shared" si="5"/>
        <v>-3629.7</v>
      </c>
      <c r="V25" s="141">
        <f t="shared" si="6"/>
        <v>229</v>
      </c>
    </row>
    <row r="26" spans="1:22" s="139" customFormat="1" ht="12.75">
      <c r="A26" s="136" t="s">
        <v>153</v>
      </c>
      <c r="B26" s="137">
        <v>42473</v>
      </c>
      <c r="C26" s="136" t="s">
        <v>154</v>
      </c>
      <c r="D26" s="138">
        <v>510.93</v>
      </c>
      <c r="E26" s="145"/>
      <c r="F26" s="147"/>
      <c r="K26" s="142">
        <v>42475</v>
      </c>
      <c r="L26" s="142"/>
      <c r="M26" s="137">
        <f>+N26</f>
        <v>42475</v>
      </c>
      <c r="N26" s="137">
        <v>42475</v>
      </c>
      <c r="O26" s="143">
        <f t="shared" si="0"/>
        <v>0</v>
      </c>
      <c r="P26" s="143">
        <f t="shared" si="1"/>
        <v>0</v>
      </c>
      <c r="Q26" s="143">
        <f t="shared" si="2"/>
        <v>0</v>
      </c>
      <c r="R26" s="143">
        <f t="shared" si="3"/>
        <v>-30</v>
      </c>
      <c r="S26" s="245">
        <v>29</v>
      </c>
      <c r="T26" s="144">
        <f t="shared" si="4"/>
        <v>0</v>
      </c>
      <c r="U26" s="144">
        <f t="shared" si="5"/>
        <v>-15327.9</v>
      </c>
      <c r="V26" s="141">
        <f t="shared" si="6"/>
        <v>229</v>
      </c>
    </row>
    <row r="27" spans="1:22" s="139" customFormat="1" ht="12.75">
      <c r="A27" s="136" t="s">
        <v>155</v>
      </c>
      <c r="B27" s="137">
        <v>42479</v>
      </c>
      <c r="C27" s="136" t="s">
        <v>158</v>
      </c>
      <c r="D27" s="138">
        <v>8008.38</v>
      </c>
      <c r="E27" s="145"/>
      <c r="F27" s="147"/>
      <c r="K27" s="142">
        <v>42485</v>
      </c>
      <c r="L27" s="142"/>
      <c r="M27" s="137">
        <f>+N27</f>
        <v>42485</v>
      </c>
      <c r="N27" s="137">
        <v>42485</v>
      </c>
      <c r="O27" s="143">
        <f t="shared" si="0"/>
        <v>0</v>
      </c>
      <c r="P27" s="143">
        <f t="shared" si="1"/>
        <v>0</v>
      </c>
      <c r="Q27" s="143">
        <f t="shared" si="2"/>
        <v>0</v>
      </c>
      <c r="R27" s="143">
        <f t="shared" si="3"/>
        <v>-30</v>
      </c>
      <c r="S27" s="245">
        <v>29</v>
      </c>
      <c r="T27" s="144">
        <f t="shared" si="4"/>
        <v>0</v>
      </c>
      <c r="U27" s="144">
        <f t="shared" si="5"/>
        <v>-240251.4</v>
      </c>
      <c r="V27" s="141">
        <f t="shared" si="6"/>
        <v>229</v>
      </c>
    </row>
    <row r="28" spans="1:22" s="139" customFormat="1" ht="12.75">
      <c r="A28" s="136" t="s">
        <v>156</v>
      </c>
      <c r="B28" s="137">
        <v>42479</v>
      </c>
      <c r="C28" s="136" t="s">
        <v>159</v>
      </c>
      <c r="D28" s="138">
        <v>3132.5</v>
      </c>
      <c r="E28" s="145"/>
      <c r="F28" s="147"/>
      <c r="K28" s="142">
        <v>42485</v>
      </c>
      <c r="L28" s="142"/>
      <c r="M28" s="137">
        <f>+N28</f>
        <v>42485</v>
      </c>
      <c r="N28" s="137">
        <v>42485</v>
      </c>
      <c r="O28" s="143">
        <f t="shared" si="0"/>
        <v>0</v>
      </c>
      <c r="P28" s="143">
        <f t="shared" si="1"/>
        <v>0</v>
      </c>
      <c r="Q28" s="143">
        <f t="shared" si="2"/>
        <v>0</v>
      </c>
      <c r="R28" s="143">
        <f t="shared" si="3"/>
        <v>-30</v>
      </c>
      <c r="S28" s="245">
        <v>29</v>
      </c>
      <c r="T28" s="144">
        <f t="shared" si="4"/>
        <v>0</v>
      </c>
      <c r="U28" s="144">
        <f t="shared" si="5"/>
        <v>-93975</v>
      </c>
      <c r="V28" s="141">
        <f t="shared" si="6"/>
        <v>229</v>
      </c>
    </row>
    <row r="29" spans="1:22" s="139" customFormat="1" ht="12.75">
      <c r="A29" s="136" t="s">
        <v>157</v>
      </c>
      <c r="B29" s="137">
        <v>42485</v>
      </c>
      <c r="C29" s="136" t="s">
        <v>160</v>
      </c>
      <c r="D29" s="138">
        <v>3556.8</v>
      </c>
      <c r="E29" s="145"/>
      <c r="F29" s="147"/>
      <c r="K29" s="142">
        <v>42487</v>
      </c>
      <c r="L29" s="142"/>
      <c r="M29" s="137">
        <f>+N29</f>
        <v>42487</v>
      </c>
      <c r="N29" s="137">
        <v>42487</v>
      </c>
      <c r="O29" s="143">
        <f t="shared" si="0"/>
        <v>0</v>
      </c>
      <c r="P29" s="143">
        <f t="shared" si="1"/>
        <v>0</v>
      </c>
      <c r="Q29" s="143">
        <f t="shared" si="2"/>
        <v>0</v>
      </c>
      <c r="R29" s="143">
        <f t="shared" si="3"/>
        <v>-30</v>
      </c>
      <c r="S29" s="245">
        <v>29</v>
      </c>
      <c r="T29" s="144">
        <f t="shared" si="4"/>
        <v>0</v>
      </c>
      <c r="U29" s="144">
        <f t="shared" si="5"/>
        <v>-106704</v>
      </c>
      <c r="V29" s="141">
        <f t="shared" si="6"/>
        <v>229</v>
      </c>
    </row>
    <row r="30" spans="1:22" s="141" customFormat="1" ht="12.75">
      <c r="A30" s="136" t="s">
        <v>161</v>
      </c>
      <c r="B30" s="148">
        <v>42475</v>
      </c>
      <c r="C30" s="145" t="s">
        <v>163</v>
      </c>
      <c r="D30" s="149">
        <v>471.22</v>
      </c>
      <c r="E30" s="145"/>
      <c r="F30" s="150"/>
      <c r="K30" s="151">
        <v>42479</v>
      </c>
      <c r="L30" s="151"/>
      <c r="M30" s="148">
        <f>+N30</f>
        <v>42479</v>
      </c>
      <c r="N30" s="148">
        <v>42479</v>
      </c>
      <c r="O30" s="143">
        <f t="shared" si="0"/>
        <v>0</v>
      </c>
      <c r="P30" s="143">
        <f t="shared" si="1"/>
        <v>0</v>
      </c>
      <c r="Q30" s="143">
        <f t="shared" si="2"/>
        <v>0</v>
      </c>
      <c r="R30" s="143">
        <f t="shared" si="3"/>
        <v>-30</v>
      </c>
      <c r="S30" s="246">
        <v>29</v>
      </c>
      <c r="T30" s="144">
        <f t="shared" si="4"/>
        <v>0</v>
      </c>
      <c r="U30" s="144">
        <f t="shared" si="5"/>
        <v>-14136.6</v>
      </c>
      <c r="V30" s="141">
        <f t="shared" si="6"/>
        <v>229</v>
      </c>
    </row>
    <row r="31" spans="1:22" s="139" customFormat="1" ht="12.75">
      <c r="A31" s="136" t="s">
        <v>162</v>
      </c>
      <c r="B31" s="137">
        <v>42485</v>
      </c>
      <c r="C31" s="136" t="s">
        <v>164</v>
      </c>
      <c r="D31" s="138">
        <v>996</v>
      </c>
      <c r="E31" s="145"/>
      <c r="F31" s="147"/>
      <c r="K31" s="142">
        <v>42487</v>
      </c>
      <c r="L31" s="142"/>
      <c r="M31" s="137">
        <f>+N31</f>
        <v>42487</v>
      </c>
      <c r="N31" s="137">
        <v>42487</v>
      </c>
      <c r="O31" s="143">
        <f t="shared" si="0"/>
        <v>0</v>
      </c>
      <c r="P31" s="143">
        <f t="shared" si="1"/>
        <v>0</v>
      </c>
      <c r="Q31" s="143">
        <f t="shared" si="2"/>
        <v>0</v>
      </c>
      <c r="R31" s="143">
        <f t="shared" si="3"/>
        <v>-30</v>
      </c>
      <c r="S31" s="246">
        <v>29</v>
      </c>
      <c r="T31" s="144">
        <f t="shared" si="4"/>
        <v>0</v>
      </c>
      <c r="U31" s="144">
        <f t="shared" si="5"/>
        <v>-29880</v>
      </c>
      <c r="V31" s="141">
        <f t="shared" si="6"/>
        <v>229</v>
      </c>
    </row>
    <row r="32" spans="1:22" s="139" customFormat="1" ht="12.75">
      <c r="A32" s="136" t="s">
        <v>165</v>
      </c>
      <c r="B32" s="137">
        <v>42466</v>
      </c>
      <c r="C32" s="136" t="s">
        <v>166</v>
      </c>
      <c r="D32" s="138">
        <v>472.08</v>
      </c>
      <c r="E32" s="145"/>
      <c r="F32" s="147"/>
      <c r="K32" s="142">
        <v>42474</v>
      </c>
      <c r="L32" s="142"/>
      <c r="M32" s="137">
        <f>+N32</f>
        <v>42474</v>
      </c>
      <c r="N32" s="137">
        <v>42474</v>
      </c>
      <c r="O32" s="143">
        <f t="shared" si="0"/>
        <v>0</v>
      </c>
      <c r="P32" s="143">
        <f t="shared" si="1"/>
        <v>0</v>
      </c>
      <c r="Q32" s="143">
        <f t="shared" si="2"/>
        <v>0</v>
      </c>
      <c r="R32" s="143">
        <f t="shared" si="3"/>
        <v>-30</v>
      </c>
      <c r="S32" s="246">
        <v>29</v>
      </c>
      <c r="T32" s="144">
        <f t="shared" si="4"/>
        <v>0</v>
      </c>
      <c r="U32" s="144">
        <f t="shared" si="5"/>
        <v>-14162.4</v>
      </c>
      <c r="V32" s="141">
        <f t="shared" si="6"/>
        <v>229</v>
      </c>
    </row>
    <row r="33" spans="1:22" s="139" customFormat="1" ht="12.75">
      <c r="A33" s="136" t="s">
        <v>167</v>
      </c>
      <c r="B33" s="137">
        <v>42485</v>
      </c>
      <c r="C33" s="136" t="s">
        <v>168</v>
      </c>
      <c r="D33" s="138">
        <v>99.23</v>
      </c>
      <c r="E33" s="145"/>
      <c r="F33" s="147"/>
      <c r="K33" s="142">
        <v>42492</v>
      </c>
      <c r="L33" s="142"/>
      <c r="M33" s="137">
        <f>+N33</f>
        <v>42493</v>
      </c>
      <c r="N33" s="137">
        <v>42493</v>
      </c>
      <c r="O33" s="143">
        <f t="shared" si="0"/>
        <v>1</v>
      </c>
      <c r="P33" s="143">
        <f t="shared" si="1"/>
        <v>0</v>
      </c>
      <c r="Q33" s="143">
        <f t="shared" si="2"/>
        <v>1</v>
      </c>
      <c r="R33" s="143">
        <f t="shared" si="3"/>
        <v>-29</v>
      </c>
      <c r="S33" s="246">
        <v>22</v>
      </c>
      <c r="T33" s="144">
        <f t="shared" si="4"/>
        <v>0</v>
      </c>
      <c r="U33" s="144">
        <f t="shared" si="5"/>
        <v>-2877.67</v>
      </c>
      <c r="V33" s="141">
        <f t="shared" si="6"/>
        <v>222</v>
      </c>
    </row>
    <row r="34" spans="1:22" s="139" customFormat="1" ht="12.75">
      <c r="A34" s="136" t="s">
        <v>169</v>
      </c>
      <c r="B34" s="137">
        <v>42485</v>
      </c>
      <c r="C34" s="136" t="s">
        <v>170</v>
      </c>
      <c r="D34" s="138">
        <v>30</v>
      </c>
      <c r="E34" s="145"/>
      <c r="F34" s="147"/>
      <c r="K34" s="142">
        <v>42485</v>
      </c>
      <c r="L34" s="142"/>
      <c r="M34" s="137">
        <f>+N34</f>
        <v>42485</v>
      </c>
      <c r="N34" s="137">
        <v>42485</v>
      </c>
      <c r="O34" s="143">
        <f t="shared" si="0"/>
        <v>0</v>
      </c>
      <c r="P34" s="143">
        <f t="shared" si="1"/>
        <v>0</v>
      </c>
      <c r="Q34" s="143">
        <f t="shared" si="2"/>
        <v>0</v>
      </c>
      <c r="R34" s="143">
        <f t="shared" si="3"/>
        <v>-30</v>
      </c>
      <c r="S34" s="246">
        <v>29</v>
      </c>
      <c r="T34" s="144">
        <f t="shared" si="4"/>
        <v>0</v>
      </c>
      <c r="U34" s="144">
        <f t="shared" si="5"/>
        <v>-900</v>
      </c>
      <c r="V34" s="141">
        <f t="shared" si="6"/>
        <v>229</v>
      </c>
    </row>
    <row r="35" spans="1:22" s="139" customFormat="1" ht="12.75">
      <c r="A35" s="136" t="s">
        <v>171</v>
      </c>
      <c r="B35" s="137">
        <v>42475</v>
      </c>
      <c r="C35" s="136" t="s">
        <v>172</v>
      </c>
      <c r="D35" s="138">
        <v>750.66</v>
      </c>
      <c r="E35" s="145"/>
      <c r="F35" s="147"/>
      <c r="K35" s="142">
        <v>42479</v>
      </c>
      <c r="L35" s="142"/>
      <c r="M35" s="137">
        <f>+N35</f>
        <v>42479</v>
      </c>
      <c r="N35" s="137">
        <v>42479</v>
      </c>
      <c r="O35" s="143">
        <f t="shared" si="0"/>
        <v>0</v>
      </c>
      <c r="P35" s="143">
        <f t="shared" si="1"/>
        <v>0</v>
      </c>
      <c r="Q35" s="143">
        <f t="shared" si="2"/>
        <v>0</v>
      </c>
      <c r="R35" s="143">
        <f t="shared" si="3"/>
        <v>-30</v>
      </c>
      <c r="S35" s="246">
        <v>29</v>
      </c>
      <c r="T35" s="144">
        <f t="shared" si="4"/>
        <v>0</v>
      </c>
      <c r="U35" s="144">
        <f t="shared" si="5"/>
        <v>-22519.8</v>
      </c>
      <c r="V35" s="141">
        <f t="shared" si="6"/>
        <v>229</v>
      </c>
    </row>
    <row r="36" spans="1:22" s="139" customFormat="1" ht="12.75">
      <c r="A36" s="136" t="s">
        <v>173</v>
      </c>
      <c r="B36" s="137">
        <v>42475</v>
      </c>
      <c r="C36" s="136" t="s">
        <v>174</v>
      </c>
      <c r="D36" s="138">
        <v>486.58</v>
      </c>
      <c r="E36" s="145"/>
      <c r="F36" s="147"/>
      <c r="K36" s="142">
        <v>42479</v>
      </c>
      <c r="L36" s="142"/>
      <c r="M36" s="137">
        <f>+N36</f>
        <v>42479</v>
      </c>
      <c r="N36" s="137">
        <v>42479</v>
      </c>
      <c r="O36" s="143">
        <f t="shared" si="0"/>
        <v>0</v>
      </c>
      <c r="P36" s="143">
        <f t="shared" si="1"/>
        <v>0</v>
      </c>
      <c r="Q36" s="143">
        <f t="shared" si="2"/>
        <v>0</v>
      </c>
      <c r="R36" s="143">
        <f t="shared" si="3"/>
        <v>-30</v>
      </c>
      <c r="S36" s="246">
        <v>29</v>
      </c>
      <c r="T36" s="144">
        <f t="shared" si="4"/>
        <v>0</v>
      </c>
      <c r="U36" s="144">
        <f t="shared" si="5"/>
        <v>-14597.4</v>
      </c>
      <c r="V36" s="141">
        <f t="shared" si="6"/>
        <v>229</v>
      </c>
    </row>
    <row r="37" spans="1:22" s="139" customFormat="1" ht="12.75">
      <c r="A37" s="136" t="s">
        <v>175</v>
      </c>
      <c r="B37" s="137">
        <v>42471</v>
      </c>
      <c r="C37" s="136" t="s">
        <v>176</v>
      </c>
      <c r="D37" s="138">
        <v>1825.46</v>
      </c>
      <c r="E37" s="145"/>
      <c r="F37" s="147"/>
      <c r="K37" s="142">
        <v>42499</v>
      </c>
      <c r="L37" s="142"/>
      <c r="M37" s="137">
        <f>+N37</f>
        <v>42499</v>
      </c>
      <c r="N37" s="137">
        <v>42499</v>
      </c>
      <c r="O37" s="143">
        <f t="shared" si="0"/>
        <v>0</v>
      </c>
      <c r="P37" s="143">
        <f t="shared" si="1"/>
        <v>0</v>
      </c>
      <c r="Q37" s="143">
        <f t="shared" si="2"/>
        <v>0</v>
      </c>
      <c r="R37" s="143">
        <f t="shared" si="3"/>
        <v>-30</v>
      </c>
      <c r="S37" s="246">
        <v>29</v>
      </c>
      <c r="T37" s="144">
        <f t="shared" si="4"/>
        <v>0</v>
      </c>
      <c r="U37" s="144">
        <f t="shared" si="5"/>
        <v>-54763.8</v>
      </c>
      <c r="V37" s="141">
        <f t="shared" si="6"/>
        <v>229</v>
      </c>
    </row>
    <row r="38" spans="1:22" s="139" customFormat="1" ht="12.75">
      <c r="A38" s="136" t="s">
        <v>177</v>
      </c>
      <c r="B38" s="137">
        <v>42471</v>
      </c>
      <c r="C38" s="136" t="s">
        <v>179</v>
      </c>
      <c r="D38" s="138">
        <v>140.42</v>
      </c>
      <c r="E38" s="145"/>
      <c r="F38" s="147"/>
      <c r="K38" s="142">
        <v>42493</v>
      </c>
      <c r="L38" s="142"/>
      <c r="M38" s="137">
        <f>+N38</f>
        <v>42499</v>
      </c>
      <c r="N38" s="137">
        <v>42499</v>
      </c>
      <c r="O38" s="143">
        <f t="shared" si="0"/>
        <v>6</v>
      </c>
      <c r="P38" s="143">
        <f t="shared" si="1"/>
        <v>0</v>
      </c>
      <c r="Q38" s="143">
        <f t="shared" si="2"/>
        <v>6</v>
      </c>
      <c r="R38" s="143">
        <f t="shared" si="3"/>
        <v>-24</v>
      </c>
      <c r="S38" s="246">
        <v>29</v>
      </c>
      <c r="T38" s="144">
        <f t="shared" si="4"/>
        <v>0</v>
      </c>
      <c r="U38" s="144">
        <f t="shared" si="5"/>
        <v>-3370.08</v>
      </c>
      <c r="V38" s="141">
        <f t="shared" si="6"/>
        <v>229</v>
      </c>
    </row>
    <row r="39" spans="1:22" s="139" customFormat="1" ht="12.75">
      <c r="A39" s="136" t="s">
        <v>178</v>
      </c>
      <c r="B39" s="137">
        <v>42471</v>
      </c>
      <c r="C39" s="136" t="s">
        <v>180</v>
      </c>
      <c r="D39" s="138">
        <v>210.63</v>
      </c>
      <c r="E39" s="145"/>
      <c r="F39" s="147"/>
      <c r="K39" s="142">
        <v>42493</v>
      </c>
      <c r="L39" s="142"/>
      <c r="M39" s="137">
        <f>+N39</f>
        <v>42499</v>
      </c>
      <c r="N39" s="137">
        <v>42499</v>
      </c>
      <c r="O39" s="143">
        <f t="shared" si="0"/>
        <v>6</v>
      </c>
      <c r="P39" s="143">
        <f t="shared" si="1"/>
        <v>0</v>
      </c>
      <c r="Q39" s="143">
        <f t="shared" si="2"/>
        <v>6</v>
      </c>
      <c r="R39" s="143">
        <f t="shared" si="3"/>
        <v>-24</v>
      </c>
      <c r="S39" s="246">
        <v>29</v>
      </c>
      <c r="T39" s="144">
        <f t="shared" si="4"/>
        <v>0</v>
      </c>
      <c r="U39" s="144">
        <f t="shared" si="5"/>
        <v>-5055.12</v>
      </c>
      <c r="V39" s="141">
        <f t="shared" si="6"/>
        <v>229</v>
      </c>
    </row>
    <row r="40" spans="1:22" s="139" customFormat="1" ht="12.75">
      <c r="A40" s="136" t="s">
        <v>181</v>
      </c>
      <c r="B40" s="137">
        <v>42488</v>
      </c>
      <c r="C40" s="136" t="s">
        <v>182</v>
      </c>
      <c r="D40" s="138">
        <v>6.63</v>
      </c>
      <c r="E40" s="145"/>
      <c r="F40" s="147"/>
      <c r="K40" s="142">
        <v>42494</v>
      </c>
      <c r="L40" s="142"/>
      <c r="M40" s="137">
        <f>+N40</f>
        <v>42507</v>
      </c>
      <c r="N40" s="137">
        <v>42507</v>
      </c>
      <c r="O40" s="143">
        <f t="shared" si="0"/>
        <v>13</v>
      </c>
      <c r="P40" s="143">
        <f t="shared" si="1"/>
        <v>0</v>
      </c>
      <c r="Q40" s="143">
        <f t="shared" si="2"/>
        <v>13</v>
      </c>
      <c r="R40" s="143">
        <f t="shared" si="3"/>
        <v>-17</v>
      </c>
      <c r="S40" s="246">
        <v>22</v>
      </c>
      <c r="T40" s="144">
        <f t="shared" si="4"/>
        <v>0</v>
      </c>
      <c r="U40" s="144">
        <f t="shared" si="5"/>
        <v>-112.71</v>
      </c>
      <c r="V40" s="141">
        <f t="shared" si="6"/>
        <v>222</v>
      </c>
    </row>
    <row r="41" spans="1:22" s="139" customFormat="1" ht="12.75">
      <c r="A41" s="136" t="s">
        <v>183</v>
      </c>
      <c r="B41" s="137">
        <v>42481</v>
      </c>
      <c r="C41" s="136" t="s">
        <v>184</v>
      </c>
      <c r="D41" s="138">
        <v>101.98</v>
      </c>
      <c r="E41" s="145"/>
      <c r="F41" s="147"/>
      <c r="K41" s="142">
        <v>42507</v>
      </c>
      <c r="L41" s="142"/>
      <c r="M41" s="137">
        <f>+N41</f>
        <v>42507</v>
      </c>
      <c r="N41" s="137">
        <v>42507</v>
      </c>
      <c r="O41" s="143">
        <f t="shared" si="0"/>
        <v>0</v>
      </c>
      <c r="P41" s="143">
        <f t="shared" si="1"/>
        <v>0</v>
      </c>
      <c r="Q41" s="143">
        <f t="shared" si="2"/>
        <v>0</v>
      </c>
      <c r="R41" s="143">
        <f t="shared" si="3"/>
        <v>-30</v>
      </c>
      <c r="S41" s="246">
        <v>29</v>
      </c>
      <c r="T41" s="144">
        <f t="shared" si="4"/>
        <v>0</v>
      </c>
      <c r="U41" s="144">
        <f t="shared" si="5"/>
        <v>-3059.4</v>
      </c>
      <c r="V41" s="141">
        <f t="shared" si="6"/>
        <v>229</v>
      </c>
    </row>
    <row r="42" spans="1:22" s="139" customFormat="1" ht="12.75">
      <c r="A42" s="136" t="s">
        <v>185</v>
      </c>
      <c r="B42" s="137">
        <v>42480</v>
      </c>
      <c r="C42" s="136" t="s">
        <v>188</v>
      </c>
      <c r="D42" s="138">
        <v>1500</v>
      </c>
      <c r="E42" s="145"/>
      <c r="F42" s="147"/>
      <c r="K42" s="142">
        <v>42507</v>
      </c>
      <c r="L42" s="142"/>
      <c r="M42" s="137">
        <f>+N42</f>
        <v>42507</v>
      </c>
      <c r="N42" s="137">
        <v>42507</v>
      </c>
      <c r="O42" s="143">
        <f t="shared" si="0"/>
        <v>0</v>
      </c>
      <c r="P42" s="143">
        <f t="shared" si="1"/>
        <v>0</v>
      </c>
      <c r="Q42" s="143">
        <f t="shared" si="2"/>
        <v>0</v>
      </c>
      <c r="R42" s="143">
        <f t="shared" si="3"/>
        <v>-30</v>
      </c>
      <c r="S42" s="246">
        <v>29</v>
      </c>
      <c r="T42" s="144">
        <f t="shared" si="4"/>
        <v>0</v>
      </c>
      <c r="U42" s="144">
        <f t="shared" si="5"/>
        <v>-45000</v>
      </c>
      <c r="V42" s="141">
        <f t="shared" si="6"/>
        <v>229</v>
      </c>
    </row>
    <row r="43" spans="1:22" s="139" customFormat="1" ht="12.75">
      <c r="A43" s="136" t="s">
        <v>186</v>
      </c>
      <c r="B43" s="137">
        <v>42493</v>
      </c>
      <c r="C43" s="136" t="s">
        <v>189</v>
      </c>
      <c r="D43" s="138">
        <v>140</v>
      </c>
      <c r="E43" s="145"/>
      <c r="F43" s="147"/>
      <c r="K43" s="142">
        <v>42493</v>
      </c>
      <c r="L43" s="142"/>
      <c r="M43" s="137">
        <f>+N43</f>
        <v>42493</v>
      </c>
      <c r="N43" s="137">
        <v>42493</v>
      </c>
      <c r="O43" s="143">
        <f t="shared" si="0"/>
        <v>0</v>
      </c>
      <c r="P43" s="143">
        <f t="shared" si="1"/>
        <v>0</v>
      </c>
      <c r="Q43" s="143">
        <f t="shared" si="2"/>
        <v>0</v>
      </c>
      <c r="R43" s="143">
        <f t="shared" si="3"/>
        <v>-30</v>
      </c>
      <c r="S43" s="246">
        <v>21</v>
      </c>
      <c r="T43" s="144">
        <f t="shared" si="4"/>
        <v>0</v>
      </c>
      <c r="U43" s="144">
        <f t="shared" si="5"/>
        <v>-4200</v>
      </c>
      <c r="V43" s="141">
        <f t="shared" si="6"/>
        <v>221</v>
      </c>
    </row>
    <row r="44" spans="1:22" s="139" customFormat="1" ht="12.75">
      <c r="A44" s="136" t="s">
        <v>187</v>
      </c>
      <c r="B44" s="137">
        <v>42483</v>
      </c>
      <c r="C44" s="136" t="s">
        <v>190</v>
      </c>
      <c r="D44" s="138">
        <v>277.7</v>
      </c>
      <c r="E44" s="145"/>
      <c r="F44" s="147"/>
      <c r="K44" s="142">
        <v>42480</v>
      </c>
      <c r="L44" s="142"/>
      <c r="M44" s="137">
        <f>+N44</f>
        <v>42480</v>
      </c>
      <c r="N44" s="137">
        <v>42480</v>
      </c>
      <c r="O44" s="143">
        <f t="shared" si="0"/>
        <v>0</v>
      </c>
      <c r="P44" s="143">
        <f t="shared" si="1"/>
        <v>0</v>
      </c>
      <c r="Q44" s="143">
        <f t="shared" si="2"/>
        <v>0</v>
      </c>
      <c r="R44" s="143">
        <f t="shared" si="3"/>
        <v>-30</v>
      </c>
      <c r="S44" s="246">
        <v>29</v>
      </c>
      <c r="T44" s="144">
        <f t="shared" si="4"/>
        <v>0</v>
      </c>
      <c r="U44" s="144">
        <f t="shared" si="5"/>
        <v>-8331</v>
      </c>
      <c r="V44" s="141">
        <f t="shared" si="6"/>
        <v>229</v>
      </c>
    </row>
    <row r="45" spans="1:22" s="139" customFormat="1" ht="12.75">
      <c r="A45" s="136" t="s">
        <v>191</v>
      </c>
      <c r="B45" s="137">
        <v>42487</v>
      </c>
      <c r="C45" s="136" t="s">
        <v>192</v>
      </c>
      <c r="D45" s="138">
        <v>92.93</v>
      </c>
      <c r="E45" s="145"/>
      <c r="F45" s="147"/>
      <c r="K45" s="142">
        <v>42494</v>
      </c>
      <c r="L45" s="142"/>
      <c r="M45" s="137">
        <f>+N45</f>
        <v>42507</v>
      </c>
      <c r="N45" s="137">
        <v>42507</v>
      </c>
      <c r="O45" s="143">
        <f t="shared" si="0"/>
        <v>13</v>
      </c>
      <c r="P45" s="143">
        <f t="shared" si="1"/>
        <v>0</v>
      </c>
      <c r="Q45" s="143">
        <f t="shared" si="2"/>
        <v>13</v>
      </c>
      <c r="R45" s="143">
        <f t="shared" si="3"/>
        <v>-17</v>
      </c>
      <c r="S45" s="246">
        <v>21</v>
      </c>
      <c r="T45" s="144">
        <f t="shared" si="4"/>
        <v>0</v>
      </c>
      <c r="U45" s="144">
        <f t="shared" si="5"/>
        <v>-1579.8100000000002</v>
      </c>
      <c r="V45" s="141">
        <f t="shared" si="6"/>
        <v>221</v>
      </c>
    </row>
    <row r="46" spans="1:22" s="139" customFormat="1" ht="12.75">
      <c r="A46" s="136" t="s">
        <v>193</v>
      </c>
      <c r="B46" s="137">
        <v>42489</v>
      </c>
      <c r="C46" s="136" t="s">
        <v>194</v>
      </c>
      <c r="D46" s="138">
        <v>151.25</v>
      </c>
      <c r="E46" s="145"/>
      <c r="F46" s="147"/>
      <c r="K46" s="142">
        <v>42494</v>
      </c>
      <c r="L46" s="142"/>
      <c r="M46" s="137">
        <f>+N46</f>
        <v>42507</v>
      </c>
      <c r="N46" s="137">
        <v>42507</v>
      </c>
      <c r="O46" s="143">
        <f t="shared" si="0"/>
        <v>13</v>
      </c>
      <c r="P46" s="143">
        <f t="shared" si="1"/>
        <v>0</v>
      </c>
      <c r="Q46" s="143">
        <f t="shared" si="2"/>
        <v>13</v>
      </c>
      <c r="R46" s="143">
        <f t="shared" si="3"/>
        <v>-17</v>
      </c>
      <c r="S46" s="246">
        <v>21</v>
      </c>
      <c r="T46" s="144">
        <f t="shared" si="4"/>
        <v>0</v>
      </c>
      <c r="U46" s="144">
        <f t="shared" si="5"/>
        <v>-2571.25</v>
      </c>
      <c r="V46" s="141">
        <f t="shared" si="6"/>
        <v>221</v>
      </c>
    </row>
    <row r="47" spans="1:22" s="139" customFormat="1" ht="12.75">
      <c r="A47" s="136" t="s">
        <v>195</v>
      </c>
      <c r="B47" s="137">
        <v>42499</v>
      </c>
      <c r="C47" s="136" t="s">
        <v>196</v>
      </c>
      <c r="D47" s="138">
        <v>320.65</v>
      </c>
      <c r="E47" s="145"/>
      <c r="F47" s="147"/>
      <c r="K47" s="142">
        <v>42468</v>
      </c>
      <c r="L47" s="142"/>
      <c r="M47" s="137">
        <f>+N47</f>
        <v>42489</v>
      </c>
      <c r="N47" s="137">
        <v>42489</v>
      </c>
      <c r="O47" s="143">
        <f t="shared" si="0"/>
        <v>21</v>
      </c>
      <c r="P47" s="143">
        <f t="shared" si="1"/>
        <v>0</v>
      </c>
      <c r="Q47" s="143">
        <f t="shared" si="2"/>
        <v>21</v>
      </c>
      <c r="R47" s="143">
        <f t="shared" si="3"/>
        <v>-9</v>
      </c>
      <c r="S47" s="246">
        <v>29</v>
      </c>
      <c r="T47" s="144">
        <f t="shared" si="4"/>
        <v>0</v>
      </c>
      <c r="U47" s="144">
        <f t="shared" si="5"/>
        <v>-2885.85</v>
      </c>
      <c r="V47" s="141">
        <f t="shared" si="6"/>
        <v>229</v>
      </c>
    </row>
    <row r="48" spans="1:22" s="139" customFormat="1" ht="12.75">
      <c r="A48" s="136" t="s">
        <v>197</v>
      </c>
      <c r="B48" s="137">
        <v>42499</v>
      </c>
      <c r="C48" s="136" t="s">
        <v>201</v>
      </c>
      <c r="D48" s="138">
        <v>101.77</v>
      </c>
      <c r="E48" s="145"/>
      <c r="F48" s="147"/>
      <c r="K48" s="142">
        <v>42468</v>
      </c>
      <c r="L48" s="142"/>
      <c r="M48" s="137">
        <f>+N48</f>
        <v>42499</v>
      </c>
      <c r="N48" s="137">
        <v>42499</v>
      </c>
      <c r="O48" s="143">
        <f t="shared" si="0"/>
        <v>31</v>
      </c>
      <c r="P48" s="143">
        <f t="shared" si="1"/>
        <v>0</v>
      </c>
      <c r="Q48" s="143">
        <f t="shared" si="2"/>
        <v>31</v>
      </c>
      <c r="R48" s="143">
        <f t="shared" si="3"/>
        <v>1</v>
      </c>
      <c r="S48" s="246">
        <v>21</v>
      </c>
      <c r="T48" s="144">
        <f t="shared" si="4"/>
        <v>0</v>
      </c>
      <c r="U48" s="144">
        <f t="shared" si="5"/>
        <v>101.77</v>
      </c>
      <c r="V48" s="141">
        <f t="shared" si="6"/>
        <v>221</v>
      </c>
    </row>
    <row r="49" spans="1:22" s="139" customFormat="1" ht="12.75">
      <c r="A49" s="136" t="s">
        <v>198</v>
      </c>
      <c r="B49" s="137">
        <v>42490</v>
      </c>
      <c r="C49" s="136" t="s">
        <v>202</v>
      </c>
      <c r="D49" s="138">
        <v>659.79</v>
      </c>
      <c r="E49" s="145"/>
      <c r="F49" s="147"/>
      <c r="K49" s="142">
        <v>42492</v>
      </c>
      <c r="L49" s="142"/>
      <c r="M49" s="137">
        <f>+N49</f>
        <v>42492</v>
      </c>
      <c r="N49" s="137">
        <v>42492</v>
      </c>
      <c r="O49" s="143">
        <f t="shared" si="0"/>
        <v>0</v>
      </c>
      <c r="P49" s="143">
        <f t="shared" si="1"/>
        <v>0</v>
      </c>
      <c r="Q49" s="143">
        <f t="shared" si="2"/>
        <v>0</v>
      </c>
      <c r="R49" s="143">
        <f t="shared" si="3"/>
        <v>-30</v>
      </c>
      <c r="S49" s="246">
        <v>29</v>
      </c>
      <c r="T49" s="144">
        <f t="shared" si="4"/>
        <v>0</v>
      </c>
      <c r="U49" s="144">
        <f t="shared" si="5"/>
        <v>-19793.699999999997</v>
      </c>
      <c r="V49" s="141">
        <f t="shared" si="6"/>
        <v>229</v>
      </c>
    </row>
    <row r="50" spans="1:22" s="139" customFormat="1" ht="12.75">
      <c r="A50" s="136" t="s">
        <v>199</v>
      </c>
      <c r="B50" s="137">
        <v>42490</v>
      </c>
      <c r="C50" s="136" t="s">
        <v>203</v>
      </c>
      <c r="D50" s="138">
        <v>1668.35</v>
      </c>
      <c r="E50" s="145"/>
      <c r="F50" s="147"/>
      <c r="K50" s="142">
        <v>42492</v>
      </c>
      <c r="L50" s="142"/>
      <c r="M50" s="137">
        <f>+N50</f>
        <v>42492</v>
      </c>
      <c r="N50" s="137">
        <v>42492</v>
      </c>
      <c r="O50" s="143">
        <f t="shared" si="0"/>
        <v>0</v>
      </c>
      <c r="P50" s="143">
        <f t="shared" si="1"/>
        <v>0</v>
      </c>
      <c r="Q50" s="143">
        <f t="shared" si="2"/>
        <v>0</v>
      </c>
      <c r="R50" s="143">
        <f t="shared" si="3"/>
        <v>-30</v>
      </c>
      <c r="S50" s="246">
        <v>29</v>
      </c>
      <c r="T50" s="144">
        <f t="shared" si="4"/>
        <v>0</v>
      </c>
      <c r="U50" s="144">
        <f t="shared" si="5"/>
        <v>-50050.5</v>
      </c>
      <c r="V50" s="141">
        <f t="shared" si="6"/>
        <v>229</v>
      </c>
    </row>
    <row r="51" spans="1:22" s="139" customFormat="1" ht="12.75">
      <c r="A51" s="136" t="s">
        <v>200</v>
      </c>
      <c r="B51" s="137">
        <v>42490</v>
      </c>
      <c r="C51" s="136" t="s">
        <v>204</v>
      </c>
      <c r="D51" s="138">
        <v>120.61</v>
      </c>
      <c r="E51" s="145"/>
      <c r="F51" s="147"/>
      <c r="K51" s="142">
        <v>42499</v>
      </c>
      <c r="L51" s="142"/>
      <c r="M51" s="137">
        <f>+N51</f>
        <v>42499</v>
      </c>
      <c r="N51" s="137">
        <v>42499</v>
      </c>
      <c r="O51" s="143">
        <f t="shared" si="0"/>
        <v>0</v>
      </c>
      <c r="P51" s="143">
        <f t="shared" si="1"/>
        <v>0</v>
      </c>
      <c r="Q51" s="143">
        <f t="shared" si="2"/>
        <v>0</v>
      </c>
      <c r="R51" s="143">
        <f t="shared" si="3"/>
        <v>-30</v>
      </c>
      <c r="S51" s="246">
        <v>29</v>
      </c>
      <c r="T51" s="144">
        <f t="shared" si="4"/>
        <v>0</v>
      </c>
      <c r="U51" s="144">
        <f t="shared" si="5"/>
        <v>-3618.3</v>
      </c>
      <c r="V51" s="141">
        <f t="shared" si="6"/>
        <v>229</v>
      </c>
    </row>
    <row r="52" spans="1:22" s="139" customFormat="1" ht="12.75">
      <c r="A52" s="136" t="s">
        <v>205</v>
      </c>
      <c r="B52" s="137">
        <v>42496</v>
      </c>
      <c r="C52" s="136" t="s">
        <v>206</v>
      </c>
      <c r="D52" s="138">
        <v>8.93</v>
      </c>
      <c r="E52" s="145"/>
      <c r="F52" s="147"/>
      <c r="K52" s="142">
        <v>42502</v>
      </c>
      <c r="L52" s="142"/>
      <c r="M52" s="137">
        <f>+N52</f>
        <v>42507</v>
      </c>
      <c r="N52" s="137">
        <v>42507</v>
      </c>
      <c r="O52" s="143">
        <f t="shared" si="0"/>
        <v>5</v>
      </c>
      <c r="P52" s="143">
        <f t="shared" si="1"/>
        <v>0</v>
      </c>
      <c r="Q52" s="143">
        <f t="shared" si="2"/>
        <v>5</v>
      </c>
      <c r="R52" s="143">
        <f t="shared" si="3"/>
        <v>-25</v>
      </c>
      <c r="S52" s="246">
        <v>22</v>
      </c>
      <c r="T52" s="144">
        <f t="shared" si="4"/>
        <v>0</v>
      </c>
      <c r="U52" s="144">
        <f t="shared" si="5"/>
        <v>-223.25</v>
      </c>
      <c r="V52" s="141">
        <f t="shared" si="6"/>
        <v>222</v>
      </c>
    </row>
    <row r="53" spans="1:22" s="139" customFormat="1" ht="12.75">
      <c r="A53" s="136" t="s">
        <v>207</v>
      </c>
      <c r="B53" s="137">
        <v>42493</v>
      </c>
      <c r="C53" s="136" t="s">
        <v>209</v>
      </c>
      <c r="D53" s="138">
        <v>47.96</v>
      </c>
      <c r="E53" s="145"/>
      <c r="F53" s="147"/>
      <c r="K53" s="142">
        <v>42502</v>
      </c>
      <c r="L53" s="142"/>
      <c r="M53" s="137">
        <f>+N53</f>
        <v>42507</v>
      </c>
      <c r="N53" s="137">
        <v>42507</v>
      </c>
      <c r="O53" s="143">
        <f t="shared" si="0"/>
        <v>5</v>
      </c>
      <c r="P53" s="143">
        <f t="shared" si="1"/>
        <v>0</v>
      </c>
      <c r="Q53" s="143">
        <f t="shared" si="2"/>
        <v>5</v>
      </c>
      <c r="R53" s="143">
        <f t="shared" si="3"/>
        <v>-25</v>
      </c>
      <c r="S53" s="246">
        <v>29</v>
      </c>
      <c r="T53" s="144">
        <f t="shared" si="4"/>
        <v>0</v>
      </c>
      <c r="U53" s="144">
        <f t="shared" si="5"/>
        <v>-1199</v>
      </c>
      <c r="V53" s="141">
        <f t="shared" si="6"/>
        <v>229</v>
      </c>
    </row>
    <row r="54" spans="1:22" s="139" customFormat="1" ht="12.75">
      <c r="A54" s="136" t="s">
        <v>208</v>
      </c>
      <c r="B54" s="137">
        <v>42490</v>
      </c>
      <c r="C54" s="136" t="s">
        <v>210</v>
      </c>
      <c r="D54" s="138">
        <v>2160</v>
      </c>
      <c r="E54" s="145"/>
      <c r="F54" s="147"/>
      <c r="K54" s="142">
        <v>42502</v>
      </c>
      <c r="L54" s="142"/>
      <c r="M54" s="137">
        <f>+N54</f>
        <v>42507</v>
      </c>
      <c r="N54" s="137">
        <v>42507</v>
      </c>
      <c r="O54" s="143">
        <f t="shared" si="0"/>
        <v>5</v>
      </c>
      <c r="P54" s="143">
        <f t="shared" si="1"/>
        <v>0</v>
      </c>
      <c r="Q54" s="143">
        <f t="shared" si="2"/>
        <v>5</v>
      </c>
      <c r="R54" s="143">
        <f t="shared" si="3"/>
        <v>-25</v>
      </c>
      <c r="S54" s="246">
        <v>29</v>
      </c>
      <c r="T54" s="144">
        <f t="shared" si="4"/>
        <v>0</v>
      </c>
      <c r="U54" s="144">
        <f t="shared" si="5"/>
        <v>-54000</v>
      </c>
      <c r="V54" s="141">
        <f t="shared" si="6"/>
        <v>229</v>
      </c>
    </row>
    <row r="55" spans="1:22" s="139" customFormat="1" ht="12.75">
      <c r="A55" s="136" t="s">
        <v>211</v>
      </c>
      <c r="B55" s="137">
        <v>42486</v>
      </c>
      <c r="C55" s="136" t="s">
        <v>213</v>
      </c>
      <c r="D55" s="138">
        <v>218.36</v>
      </c>
      <c r="E55" s="145"/>
      <c r="F55" s="147"/>
      <c r="K55" s="142">
        <v>42506</v>
      </c>
      <c r="L55" s="142"/>
      <c r="M55" s="137">
        <f>+N55</f>
        <v>42520</v>
      </c>
      <c r="N55" s="137">
        <v>42520</v>
      </c>
      <c r="O55" s="143">
        <f t="shared" si="0"/>
        <v>14</v>
      </c>
      <c r="P55" s="143">
        <f t="shared" si="1"/>
        <v>0</v>
      </c>
      <c r="Q55" s="143">
        <f t="shared" si="2"/>
        <v>14</v>
      </c>
      <c r="R55" s="143">
        <f t="shared" si="3"/>
        <v>-16</v>
      </c>
      <c r="S55" s="246">
        <v>22</v>
      </c>
      <c r="T55" s="144">
        <f t="shared" si="4"/>
        <v>0</v>
      </c>
      <c r="U55" s="144">
        <f t="shared" si="5"/>
        <v>-3493.76</v>
      </c>
      <c r="V55" s="141">
        <f t="shared" si="6"/>
        <v>222</v>
      </c>
    </row>
    <row r="56" spans="1:22" s="139" customFormat="1" ht="12.75">
      <c r="A56" s="136" t="s">
        <v>212</v>
      </c>
      <c r="B56" s="137">
        <v>42490</v>
      </c>
      <c r="C56" s="136" t="s">
        <v>214</v>
      </c>
      <c r="D56" s="138">
        <v>233.8</v>
      </c>
      <c r="E56" s="145"/>
      <c r="F56" s="147"/>
      <c r="K56" s="142">
        <v>42506</v>
      </c>
      <c r="L56" s="142"/>
      <c r="M56" s="137">
        <f>+N56</f>
        <v>42507</v>
      </c>
      <c r="N56" s="137">
        <v>42507</v>
      </c>
      <c r="O56" s="143">
        <f t="shared" si="0"/>
        <v>1</v>
      </c>
      <c r="P56" s="143">
        <f t="shared" si="1"/>
        <v>0</v>
      </c>
      <c r="Q56" s="143">
        <f t="shared" si="2"/>
        <v>1</v>
      </c>
      <c r="R56" s="143">
        <f t="shared" si="3"/>
        <v>-29</v>
      </c>
      <c r="S56" s="246">
        <v>29</v>
      </c>
      <c r="T56" s="144">
        <f t="shared" si="4"/>
        <v>0</v>
      </c>
      <c r="U56" s="144">
        <f t="shared" si="5"/>
        <v>-6780.200000000001</v>
      </c>
      <c r="V56" s="141">
        <f t="shared" si="6"/>
        <v>229</v>
      </c>
    </row>
    <row r="57" spans="1:22" s="139" customFormat="1" ht="12.75">
      <c r="A57" s="136" t="s">
        <v>215</v>
      </c>
      <c r="B57" s="137">
        <v>42480</v>
      </c>
      <c r="C57" s="136" t="s">
        <v>218</v>
      </c>
      <c r="D57" s="138">
        <v>10.16</v>
      </c>
      <c r="E57" s="145"/>
      <c r="F57" s="147"/>
      <c r="K57" s="142">
        <v>42506</v>
      </c>
      <c r="L57" s="142"/>
      <c r="M57" s="137">
        <f>+N57</f>
        <v>42520</v>
      </c>
      <c r="N57" s="137">
        <v>42520</v>
      </c>
      <c r="O57" s="143">
        <f t="shared" si="0"/>
        <v>14</v>
      </c>
      <c r="P57" s="143">
        <f t="shared" si="1"/>
        <v>0</v>
      </c>
      <c r="Q57" s="143">
        <f t="shared" si="2"/>
        <v>14</v>
      </c>
      <c r="R57" s="143">
        <f t="shared" si="3"/>
        <v>-16</v>
      </c>
      <c r="S57" s="246">
        <v>22</v>
      </c>
      <c r="T57" s="144">
        <f t="shared" si="4"/>
        <v>0</v>
      </c>
      <c r="U57" s="144">
        <f t="shared" si="5"/>
        <v>-162.56</v>
      </c>
      <c r="V57" s="141">
        <f t="shared" si="6"/>
        <v>222</v>
      </c>
    </row>
    <row r="58" spans="1:22" s="139" customFormat="1" ht="12.75">
      <c r="A58" s="136" t="s">
        <v>216</v>
      </c>
      <c r="B58" s="137">
        <v>42489</v>
      </c>
      <c r="C58" s="136" t="s">
        <v>219</v>
      </c>
      <c r="D58" s="138">
        <v>535.78</v>
      </c>
      <c r="E58" s="145"/>
      <c r="F58" s="147"/>
      <c r="K58" s="142">
        <v>42506</v>
      </c>
      <c r="L58" s="142"/>
      <c r="M58" s="137">
        <f>+N58</f>
        <v>42550</v>
      </c>
      <c r="N58" s="137">
        <v>42550</v>
      </c>
      <c r="O58" s="143">
        <f t="shared" si="0"/>
        <v>44</v>
      </c>
      <c r="P58" s="143">
        <f t="shared" si="1"/>
        <v>0</v>
      </c>
      <c r="Q58" s="143">
        <f t="shared" si="2"/>
        <v>44</v>
      </c>
      <c r="R58" s="143">
        <f t="shared" si="3"/>
        <v>14</v>
      </c>
      <c r="S58" s="246">
        <v>22</v>
      </c>
      <c r="T58" s="144">
        <f t="shared" si="4"/>
        <v>0</v>
      </c>
      <c r="U58" s="144">
        <f t="shared" si="5"/>
        <v>7500.92</v>
      </c>
      <c r="V58" s="141">
        <f t="shared" si="6"/>
        <v>222</v>
      </c>
    </row>
    <row r="59" spans="1:22" s="139" customFormat="1" ht="12.75">
      <c r="A59" s="136" t="s">
        <v>217</v>
      </c>
      <c r="B59" s="137">
        <v>42485</v>
      </c>
      <c r="C59" s="136" t="s">
        <v>220</v>
      </c>
      <c r="D59" s="138">
        <v>70.45</v>
      </c>
      <c r="E59" s="145"/>
      <c r="F59" s="147"/>
      <c r="K59" s="142">
        <v>42506</v>
      </c>
      <c r="L59" s="142"/>
      <c r="M59" s="137">
        <f>+N59</f>
        <v>42515</v>
      </c>
      <c r="N59" s="137">
        <v>42515</v>
      </c>
      <c r="O59" s="143">
        <f t="shared" si="0"/>
        <v>9</v>
      </c>
      <c r="P59" s="143">
        <f t="shared" si="1"/>
        <v>0</v>
      </c>
      <c r="Q59" s="143">
        <f t="shared" si="2"/>
        <v>9</v>
      </c>
      <c r="R59" s="143">
        <f t="shared" si="3"/>
        <v>-21</v>
      </c>
      <c r="S59" s="246">
        <v>21</v>
      </c>
      <c r="T59" s="144">
        <f t="shared" si="4"/>
        <v>0</v>
      </c>
      <c r="U59" s="144">
        <f t="shared" si="5"/>
        <v>-1479.45</v>
      </c>
      <c r="V59" s="141">
        <f t="shared" si="6"/>
        <v>221</v>
      </c>
    </row>
    <row r="60" spans="1:22" s="139" customFormat="1" ht="12.75">
      <c r="A60" s="136" t="s">
        <v>221</v>
      </c>
      <c r="B60" s="137">
        <v>42481</v>
      </c>
      <c r="C60" s="136" t="s">
        <v>223</v>
      </c>
      <c r="D60" s="138">
        <v>521.2</v>
      </c>
      <c r="E60" s="145"/>
      <c r="F60" s="147"/>
      <c r="K60" s="142">
        <v>42506</v>
      </c>
      <c r="L60" s="142"/>
      <c r="M60" s="137">
        <f>+N60</f>
        <v>42507</v>
      </c>
      <c r="N60" s="137">
        <v>42507</v>
      </c>
      <c r="O60" s="143">
        <f t="shared" si="0"/>
        <v>1</v>
      </c>
      <c r="P60" s="143">
        <f t="shared" si="1"/>
        <v>0</v>
      </c>
      <c r="Q60" s="143">
        <f t="shared" si="2"/>
        <v>1</v>
      </c>
      <c r="R60" s="143">
        <f t="shared" si="3"/>
        <v>-29</v>
      </c>
      <c r="S60" s="246">
        <v>29</v>
      </c>
      <c r="T60" s="144">
        <f t="shared" si="4"/>
        <v>0</v>
      </c>
      <c r="U60" s="144">
        <f t="shared" si="5"/>
        <v>-15114.800000000001</v>
      </c>
      <c r="V60" s="141">
        <f t="shared" si="6"/>
        <v>229</v>
      </c>
    </row>
    <row r="61" spans="1:22" s="139" customFormat="1" ht="12.75">
      <c r="A61" s="136" t="s">
        <v>222</v>
      </c>
      <c r="B61" s="137">
        <v>42490</v>
      </c>
      <c r="C61" s="136" t="s">
        <v>224</v>
      </c>
      <c r="D61" s="138">
        <v>6420.12</v>
      </c>
      <c r="E61" s="145"/>
      <c r="F61" s="147"/>
      <c r="K61" s="142">
        <v>42506</v>
      </c>
      <c r="L61" s="142"/>
      <c r="M61" s="137">
        <f>+N61</f>
        <v>42507</v>
      </c>
      <c r="N61" s="137">
        <v>42507</v>
      </c>
      <c r="O61" s="143">
        <f t="shared" si="0"/>
        <v>1</v>
      </c>
      <c r="P61" s="143">
        <f t="shared" si="1"/>
        <v>0</v>
      </c>
      <c r="Q61" s="143">
        <f t="shared" si="2"/>
        <v>1</v>
      </c>
      <c r="R61" s="143">
        <f t="shared" si="3"/>
        <v>-29</v>
      </c>
      <c r="S61" s="246">
        <v>29</v>
      </c>
      <c r="T61" s="144">
        <f t="shared" si="4"/>
        <v>0</v>
      </c>
      <c r="U61" s="144">
        <f t="shared" si="5"/>
        <v>-186183.48</v>
      </c>
      <c r="V61" s="141">
        <f t="shared" si="6"/>
        <v>229</v>
      </c>
    </row>
    <row r="62" spans="1:22" s="139" customFormat="1" ht="12.75">
      <c r="A62" s="136" t="s">
        <v>225</v>
      </c>
      <c r="B62" s="137">
        <v>42503</v>
      </c>
      <c r="C62" s="136" t="s">
        <v>226</v>
      </c>
      <c r="D62" s="138">
        <v>396.2</v>
      </c>
      <c r="E62" s="145"/>
      <c r="F62" s="147"/>
      <c r="K62" s="142">
        <v>42507</v>
      </c>
      <c r="L62" s="142"/>
      <c r="M62" s="137">
        <f>+N62</f>
        <v>42507</v>
      </c>
      <c r="N62" s="137">
        <v>42507</v>
      </c>
      <c r="O62" s="143">
        <f t="shared" si="0"/>
        <v>0</v>
      </c>
      <c r="P62" s="143">
        <f t="shared" si="1"/>
        <v>0</v>
      </c>
      <c r="Q62" s="143">
        <f t="shared" si="2"/>
        <v>0</v>
      </c>
      <c r="R62" s="143">
        <f t="shared" si="3"/>
        <v>-30</v>
      </c>
      <c r="S62" s="246">
        <v>29</v>
      </c>
      <c r="T62" s="144">
        <f t="shared" si="4"/>
        <v>0</v>
      </c>
      <c r="U62" s="144">
        <f t="shared" si="5"/>
        <v>-11886</v>
      </c>
      <c r="V62" s="141">
        <f t="shared" si="6"/>
        <v>229</v>
      </c>
    </row>
    <row r="63" spans="1:22" s="139" customFormat="1" ht="12.75">
      <c r="A63" s="136" t="s">
        <v>227</v>
      </c>
      <c r="B63" s="137">
        <v>42490</v>
      </c>
      <c r="C63" s="136" t="s">
        <v>229</v>
      </c>
      <c r="D63" s="138">
        <v>434.7</v>
      </c>
      <c r="E63" s="145"/>
      <c r="F63" s="147"/>
      <c r="K63" s="142">
        <v>42507</v>
      </c>
      <c r="L63" s="142"/>
      <c r="M63" s="137">
        <f>+N63</f>
        <v>42521</v>
      </c>
      <c r="N63" s="137">
        <v>42521</v>
      </c>
      <c r="O63" s="143">
        <f t="shared" si="0"/>
        <v>14</v>
      </c>
      <c r="P63" s="143">
        <f t="shared" si="1"/>
        <v>0</v>
      </c>
      <c r="Q63" s="143">
        <f t="shared" si="2"/>
        <v>14</v>
      </c>
      <c r="R63" s="143">
        <f t="shared" si="3"/>
        <v>-16</v>
      </c>
      <c r="S63" s="246">
        <v>29</v>
      </c>
      <c r="T63" s="144">
        <f t="shared" si="4"/>
        <v>0</v>
      </c>
      <c r="U63" s="144">
        <f t="shared" si="5"/>
        <v>-6955.2</v>
      </c>
      <c r="V63" s="141">
        <f t="shared" si="6"/>
        <v>229</v>
      </c>
    </row>
    <row r="64" spans="1:22" s="139" customFormat="1" ht="12.75">
      <c r="A64" s="136" t="s">
        <v>228</v>
      </c>
      <c r="B64" s="137">
        <v>42485</v>
      </c>
      <c r="C64" s="136" t="s">
        <v>230</v>
      </c>
      <c r="D64" s="138">
        <v>370.77</v>
      </c>
      <c r="E64" s="145"/>
      <c r="F64" s="147"/>
      <c r="K64" s="142">
        <v>42507</v>
      </c>
      <c r="L64" s="142"/>
      <c r="M64" s="137">
        <f>+N64</f>
        <v>42517</v>
      </c>
      <c r="N64" s="137">
        <v>42517</v>
      </c>
      <c r="O64" s="143">
        <f t="shared" si="0"/>
        <v>10</v>
      </c>
      <c r="P64" s="143">
        <f t="shared" si="1"/>
        <v>0</v>
      </c>
      <c r="Q64" s="143">
        <f t="shared" si="2"/>
        <v>10</v>
      </c>
      <c r="R64" s="143">
        <f t="shared" si="3"/>
        <v>-20</v>
      </c>
      <c r="S64" s="246">
        <v>22</v>
      </c>
      <c r="T64" s="144">
        <f t="shared" si="4"/>
        <v>0</v>
      </c>
      <c r="U64" s="144">
        <f t="shared" si="5"/>
        <v>-7415.4</v>
      </c>
      <c r="V64" s="141">
        <f t="shared" si="6"/>
        <v>222</v>
      </c>
    </row>
    <row r="65" spans="1:22" s="139" customFormat="1" ht="12.75">
      <c r="A65" s="136" t="s">
        <v>232</v>
      </c>
      <c r="B65" s="137">
        <v>42490</v>
      </c>
      <c r="C65" s="136" t="s">
        <v>233</v>
      </c>
      <c r="D65" s="138">
        <v>164.89</v>
      </c>
      <c r="E65" s="145"/>
      <c r="F65" s="147"/>
      <c r="K65" s="142">
        <v>42507</v>
      </c>
      <c r="L65" s="142"/>
      <c r="M65" s="137">
        <f>+N65</f>
        <v>42524</v>
      </c>
      <c r="N65" s="137">
        <v>42524</v>
      </c>
      <c r="O65" s="143">
        <f t="shared" si="0"/>
        <v>17</v>
      </c>
      <c r="P65" s="143">
        <f t="shared" si="1"/>
        <v>0</v>
      </c>
      <c r="Q65" s="143">
        <f t="shared" si="2"/>
        <v>17</v>
      </c>
      <c r="R65" s="143">
        <f t="shared" si="3"/>
        <v>-13</v>
      </c>
      <c r="S65" s="246">
        <v>22</v>
      </c>
      <c r="T65" s="144">
        <f t="shared" si="4"/>
        <v>0</v>
      </c>
      <c r="U65" s="144">
        <f t="shared" si="5"/>
        <v>-2143.5699999999997</v>
      </c>
      <c r="V65" s="141">
        <f t="shared" si="6"/>
        <v>222</v>
      </c>
    </row>
    <row r="66" spans="1:22" s="139" customFormat="1" ht="12.75">
      <c r="A66" s="136" t="s">
        <v>231</v>
      </c>
      <c r="B66" s="137">
        <v>42499</v>
      </c>
      <c r="C66" s="136" t="s">
        <v>234</v>
      </c>
      <c r="D66" s="138">
        <v>348.48</v>
      </c>
      <c r="E66" s="145"/>
      <c r="F66" s="147"/>
      <c r="K66" s="142">
        <v>42508</v>
      </c>
      <c r="L66" s="142"/>
      <c r="M66" s="137">
        <f>+N66</f>
        <v>42521</v>
      </c>
      <c r="N66" s="137">
        <v>42521</v>
      </c>
      <c r="O66" s="143">
        <f t="shared" si="0"/>
        <v>13</v>
      </c>
      <c r="P66" s="143">
        <f t="shared" si="1"/>
        <v>0</v>
      </c>
      <c r="Q66" s="143">
        <f t="shared" si="2"/>
        <v>13</v>
      </c>
      <c r="R66" s="143">
        <f t="shared" si="3"/>
        <v>-17</v>
      </c>
      <c r="S66" s="246">
        <v>21</v>
      </c>
      <c r="T66" s="144">
        <f t="shared" si="4"/>
        <v>0</v>
      </c>
      <c r="U66" s="144">
        <f t="shared" si="5"/>
        <v>-5924.16</v>
      </c>
      <c r="V66" s="141">
        <f t="shared" si="6"/>
        <v>221</v>
      </c>
    </row>
    <row r="67" spans="1:22" s="139" customFormat="1" ht="12.75">
      <c r="A67" s="136" t="s">
        <v>235</v>
      </c>
      <c r="B67" s="137">
        <v>42490</v>
      </c>
      <c r="C67" s="136" t="s">
        <v>236</v>
      </c>
      <c r="D67" s="138">
        <v>129.65</v>
      </c>
      <c r="E67" s="145"/>
      <c r="F67" s="147"/>
      <c r="K67" s="142">
        <v>42508</v>
      </c>
      <c r="L67" s="142"/>
      <c r="M67" s="137">
        <f>+N67</f>
        <v>42521</v>
      </c>
      <c r="N67" s="137">
        <v>42521</v>
      </c>
      <c r="O67" s="143">
        <f t="shared" si="0"/>
        <v>13</v>
      </c>
      <c r="P67" s="143">
        <f t="shared" si="1"/>
        <v>0</v>
      </c>
      <c r="Q67" s="143">
        <f t="shared" si="2"/>
        <v>13</v>
      </c>
      <c r="R67" s="143">
        <f t="shared" si="3"/>
        <v>-17</v>
      </c>
      <c r="S67" s="246">
        <v>29</v>
      </c>
      <c r="T67" s="144">
        <f t="shared" si="4"/>
        <v>0</v>
      </c>
      <c r="U67" s="144">
        <f t="shared" si="5"/>
        <v>-2204.05</v>
      </c>
      <c r="V67" s="141">
        <f t="shared" si="6"/>
        <v>229</v>
      </c>
    </row>
    <row r="68" spans="1:22" s="139" customFormat="1" ht="12.75">
      <c r="A68" s="136" t="s">
        <v>237</v>
      </c>
      <c r="B68" s="137">
        <v>42491</v>
      </c>
      <c r="C68" s="136" t="s">
        <v>238</v>
      </c>
      <c r="D68" s="138">
        <v>54.68</v>
      </c>
      <c r="E68" s="145"/>
      <c r="F68" s="147"/>
      <c r="K68" s="142">
        <v>42492</v>
      </c>
      <c r="L68" s="142"/>
      <c r="M68" s="137">
        <f>+N68</f>
        <v>42492</v>
      </c>
      <c r="N68" s="137">
        <v>42492</v>
      </c>
      <c r="O68" s="143">
        <f t="shared" si="0"/>
        <v>0</v>
      </c>
      <c r="P68" s="143">
        <f t="shared" si="1"/>
        <v>0</v>
      </c>
      <c r="Q68" s="143">
        <f t="shared" si="2"/>
        <v>0</v>
      </c>
      <c r="R68" s="143">
        <f t="shared" si="3"/>
        <v>-30</v>
      </c>
      <c r="S68" s="246">
        <v>21</v>
      </c>
      <c r="T68" s="144">
        <f t="shared" si="4"/>
        <v>0</v>
      </c>
      <c r="U68" s="144">
        <f t="shared" si="5"/>
        <v>-1640.4</v>
      </c>
      <c r="V68" s="141">
        <f t="shared" si="6"/>
        <v>221</v>
      </c>
    </row>
    <row r="69" spans="1:22" s="139" customFormat="1" ht="12.75">
      <c r="A69" s="136" t="s">
        <v>239</v>
      </c>
      <c r="B69" s="137">
        <v>42467</v>
      </c>
      <c r="C69" s="136" t="s">
        <v>241</v>
      </c>
      <c r="D69" s="138">
        <v>395.67</v>
      </c>
      <c r="E69" s="145"/>
      <c r="F69" s="147"/>
      <c r="K69" s="142">
        <v>42490</v>
      </c>
      <c r="L69" s="142"/>
      <c r="M69" s="137">
        <f>+N69</f>
        <v>42490</v>
      </c>
      <c r="N69" s="137">
        <v>42490</v>
      </c>
      <c r="O69" s="143">
        <f t="shared" si="0"/>
        <v>0</v>
      </c>
      <c r="P69" s="143">
        <f t="shared" si="1"/>
        <v>0</v>
      </c>
      <c r="Q69" s="143">
        <f t="shared" si="2"/>
        <v>0</v>
      </c>
      <c r="R69" s="143">
        <f t="shared" si="3"/>
        <v>-30</v>
      </c>
      <c r="S69" s="246">
        <v>29</v>
      </c>
      <c r="T69" s="144">
        <f t="shared" si="4"/>
        <v>0</v>
      </c>
      <c r="U69" s="144">
        <f t="shared" si="5"/>
        <v>-11870.1</v>
      </c>
      <c r="V69" s="141">
        <f t="shared" si="6"/>
        <v>229</v>
      </c>
    </row>
    <row r="70" spans="1:22" s="139" customFormat="1" ht="12.75">
      <c r="A70" s="136" t="s">
        <v>240</v>
      </c>
      <c r="B70" s="137">
        <v>42490</v>
      </c>
      <c r="C70" s="136" t="s">
        <v>242</v>
      </c>
      <c r="D70" s="138">
        <v>860.89</v>
      </c>
      <c r="E70" s="145"/>
      <c r="F70" s="147"/>
      <c r="K70" s="142">
        <v>42508</v>
      </c>
      <c r="L70" s="142"/>
      <c r="M70" s="137">
        <f>+N70</f>
        <v>42521</v>
      </c>
      <c r="N70" s="137">
        <v>42521</v>
      </c>
      <c r="O70" s="143">
        <f t="shared" si="0"/>
        <v>13</v>
      </c>
      <c r="P70" s="143">
        <f t="shared" si="1"/>
        <v>0</v>
      </c>
      <c r="Q70" s="143">
        <f t="shared" si="2"/>
        <v>13</v>
      </c>
      <c r="R70" s="143">
        <f t="shared" si="3"/>
        <v>-17</v>
      </c>
      <c r="S70" s="246">
        <v>29</v>
      </c>
      <c r="T70" s="144">
        <f t="shared" si="4"/>
        <v>0</v>
      </c>
      <c r="U70" s="144">
        <f t="shared" si="5"/>
        <v>-14635.13</v>
      </c>
      <c r="V70" s="141">
        <f t="shared" si="6"/>
        <v>229</v>
      </c>
    </row>
    <row r="71" spans="1:22" s="139" customFormat="1" ht="12.75">
      <c r="A71" s="136" t="s">
        <v>243</v>
      </c>
      <c r="B71" s="137">
        <v>42490</v>
      </c>
      <c r="C71" s="136" t="s">
        <v>244</v>
      </c>
      <c r="D71" s="138">
        <v>119.19</v>
      </c>
      <c r="E71" s="145"/>
      <c r="F71" s="147"/>
      <c r="K71" s="142">
        <v>42492</v>
      </c>
      <c r="L71" s="142"/>
      <c r="M71" s="137">
        <f>+N71</f>
        <v>42492</v>
      </c>
      <c r="N71" s="137">
        <v>42492</v>
      </c>
      <c r="O71" s="143">
        <f aca="true" t="shared" si="7" ref="O71:O134">+M71-K71</f>
        <v>0</v>
      </c>
      <c r="P71" s="143">
        <f aca="true" t="shared" si="8" ref="P71:P134">+N71-M71</f>
        <v>0</v>
      </c>
      <c r="Q71" s="143">
        <f aca="true" t="shared" si="9" ref="Q71:Q134">+N71-K71</f>
        <v>0</v>
      </c>
      <c r="R71" s="143">
        <f aca="true" t="shared" si="10" ref="R71:R134">+Q71-30</f>
        <v>-30</v>
      </c>
      <c r="S71" s="246">
        <v>29</v>
      </c>
      <c r="T71" s="144">
        <f aca="true" t="shared" si="11" ref="T71:T134">+P71*D71</f>
        <v>0</v>
      </c>
      <c r="U71" s="144">
        <f aca="true" t="shared" si="12" ref="U71:U134">+R71*D71</f>
        <v>-3575.7</v>
      </c>
      <c r="V71" s="141">
        <f aca="true" t="shared" si="13" ref="V71:V134">IF(P71&lt;30,200+S71,100+S71)</f>
        <v>229</v>
      </c>
    </row>
    <row r="72" spans="1:22" s="139" customFormat="1" ht="12.75">
      <c r="A72" s="136" t="s">
        <v>245</v>
      </c>
      <c r="B72" s="137">
        <v>42468</v>
      </c>
      <c r="C72" s="136" t="s">
        <v>248</v>
      </c>
      <c r="D72" s="138">
        <v>336.38</v>
      </c>
      <c r="E72" s="145"/>
      <c r="F72" s="147"/>
      <c r="K72" s="142">
        <v>42508</v>
      </c>
      <c r="L72" s="142"/>
      <c r="M72" s="137">
        <f>+N72</f>
        <v>42521</v>
      </c>
      <c r="N72" s="137">
        <v>42521</v>
      </c>
      <c r="O72" s="143">
        <f t="shared" si="7"/>
        <v>13</v>
      </c>
      <c r="P72" s="143">
        <f t="shared" si="8"/>
        <v>0</v>
      </c>
      <c r="Q72" s="143">
        <f t="shared" si="9"/>
        <v>13</v>
      </c>
      <c r="R72" s="143">
        <f t="shared" si="10"/>
        <v>-17</v>
      </c>
      <c r="S72" s="246">
        <v>29</v>
      </c>
      <c r="T72" s="144">
        <f t="shared" si="11"/>
        <v>0</v>
      </c>
      <c r="U72" s="144">
        <f t="shared" si="12"/>
        <v>-5718.46</v>
      </c>
      <c r="V72" s="141">
        <f t="shared" si="13"/>
        <v>229</v>
      </c>
    </row>
    <row r="73" spans="1:22" s="139" customFormat="1" ht="12.75">
      <c r="A73" s="136" t="s">
        <v>246</v>
      </c>
      <c r="B73" s="137">
        <v>42473</v>
      </c>
      <c r="C73" s="136" t="s">
        <v>249</v>
      </c>
      <c r="D73" s="138">
        <v>515.97</v>
      </c>
      <c r="E73" s="145"/>
      <c r="F73" s="147"/>
      <c r="K73" s="142">
        <v>42475</v>
      </c>
      <c r="L73" s="142"/>
      <c r="M73" s="137">
        <f>+N73</f>
        <v>42475</v>
      </c>
      <c r="N73" s="137">
        <v>42475</v>
      </c>
      <c r="O73" s="143">
        <f t="shared" si="7"/>
        <v>0</v>
      </c>
      <c r="P73" s="143">
        <f t="shared" si="8"/>
        <v>0</v>
      </c>
      <c r="Q73" s="143">
        <f t="shared" si="9"/>
        <v>0</v>
      </c>
      <c r="R73" s="143">
        <f t="shared" si="10"/>
        <v>-30</v>
      </c>
      <c r="S73" s="246">
        <v>29</v>
      </c>
      <c r="T73" s="144">
        <f t="shared" si="11"/>
        <v>0</v>
      </c>
      <c r="U73" s="144">
        <f t="shared" si="12"/>
        <v>-15479.1</v>
      </c>
      <c r="V73" s="141">
        <f t="shared" si="13"/>
        <v>229</v>
      </c>
    </row>
    <row r="74" spans="1:22" s="139" customFormat="1" ht="12.75">
      <c r="A74" s="136" t="s">
        <v>247</v>
      </c>
      <c r="B74" s="137">
        <v>42490</v>
      </c>
      <c r="C74" s="136" t="s">
        <v>250</v>
      </c>
      <c r="D74" s="138">
        <v>130.15</v>
      </c>
      <c r="E74" s="145"/>
      <c r="F74" s="147"/>
      <c r="K74" s="142">
        <v>42508</v>
      </c>
      <c r="L74" s="142"/>
      <c r="M74" s="137">
        <f>+N74</f>
        <v>42524</v>
      </c>
      <c r="N74" s="137">
        <v>42524</v>
      </c>
      <c r="O74" s="143">
        <f t="shared" si="7"/>
        <v>16</v>
      </c>
      <c r="P74" s="143">
        <f t="shared" si="8"/>
        <v>0</v>
      </c>
      <c r="Q74" s="143">
        <f t="shared" si="9"/>
        <v>16</v>
      </c>
      <c r="R74" s="143">
        <f t="shared" si="10"/>
        <v>-14</v>
      </c>
      <c r="S74" s="246">
        <v>29</v>
      </c>
      <c r="T74" s="144">
        <f t="shared" si="11"/>
        <v>0</v>
      </c>
      <c r="U74" s="144">
        <f t="shared" si="12"/>
        <v>-1822.1000000000001</v>
      </c>
      <c r="V74" s="141">
        <f t="shared" si="13"/>
        <v>229</v>
      </c>
    </row>
    <row r="75" spans="1:22" s="139" customFormat="1" ht="12.75">
      <c r="A75" s="136" t="s">
        <v>251</v>
      </c>
      <c r="B75" s="137">
        <v>42467</v>
      </c>
      <c r="C75" s="136" t="s">
        <v>252</v>
      </c>
      <c r="D75" s="138">
        <v>7176.59</v>
      </c>
      <c r="E75" s="145"/>
      <c r="F75" s="147"/>
      <c r="K75" s="142">
        <v>42508</v>
      </c>
      <c r="L75" s="142"/>
      <c r="M75" s="137">
        <f>+N75</f>
        <v>42521</v>
      </c>
      <c r="N75" s="137">
        <v>42521</v>
      </c>
      <c r="O75" s="143">
        <f t="shared" si="7"/>
        <v>13</v>
      </c>
      <c r="P75" s="143">
        <f t="shared" si="8"/>
        <v>0</v>
      </c>
      <c r="Q75" s="143">
        <f t="shared" si="9"/>
        <v>13</v>
      </c>
      <c r="R75" s="143">
        <f t="shared" si="10"/>
        <v>-17</v>
      </c>
      <c r="S75" s="246">
        <v>29</v>
      </c>
      <c r="T75" s="144">
        <f t="shared" si="11"/>
        <v>0</v>
      </c>
      <c r="U75" s="144">
        <f t="shared" si="12"/>
        <v>-122002.03</v>
      </c>
      <c r="V75" s="141">
        <f t="shared" si="13"/>
        <v>229</v>
      </c>
    </row>
    <row r="76" spans="1:22" s="139" customFormat="1" ht="12.75">
      <c r="A76" s="136" t="s">
        <v>253</v>
      </c>
      <c r="B76" s="137">
        <v>42467</v>
      </c>
      <c r="C76" s="136" t="s">
        <v>256</v>
      </c>
      <c r="D76" s="138">
        <v>18000</v>
      </c>
      <c r="E76" s="145"/>
      <c r="F76" s="147"/>
      <c r="K76" s="142">
        <v>42508</v>
      </c>
      <c r="L76" s="142"/>
      <c r="M76" s="137">
        <f>+N76</f>
        <v>42521</v>
      </c>
      <c r="N76" s="137">
        <v>42521</v>
      </c>
      <c r="O76" s="143">
        <f t="shared" si="7"/>
        <v>13</v>
      </c>
      <c r="P76" s="143">
        <f t="shared" si="8"/>
        <v>0</v>
      </c>
      <c r="Q76" s="143">
        <f t="shared" si="9"/>
        <v>13</v>
      </c>
      <c r="R76" s="143">
        <f t="shared" si="10"/>
        <v>-17</v>
      </c>
      <c r="S76" s="246">
        <v>29</v>
      </c>
      <c r="T76" s="144">
        <f t="shared" si="11"/>
        <v>0</v>
      </c>
      <c r="U76" s="144">
        <f t="shared" si="12"/>
        <v>-306000</v>
      </c>
      <c r="V76" s="141">
        <f t="shared" si="13"/>
        <v>229</v>
      </c>
    </row>
    <row r="77" spans="1:22" s="139" customFormat="1" ht="12.75">
      <c r="A77" s="136" t="s">
        <v>254</v>
      </c>
      <c r="B77" s="137">
        <v>42480</v>
      </c>
      <c r="C77" s="136" t="s">
        <v>257</v>
      </c>
      <c r="D77" s="138">
        <v>60.49</v>
      </c>
      <c r="E77" s="145"/>
      <c r="F77" s="147"/>
      <c r="K77" s="142">
        <v>42506</v>
      </c>
      <c r="L77" s="142"/>
      <c r="M77" s="137">
        <f>+N77</f>
        <v>42506</v>
      </c>
      <c r="N77" s="137">
        <v>42506</v>
      </c>
      <c r="O77" s="143">
        <f t="shared" si="7"/>
        <v>0</v>
      </c>
      <c r="P77" s="143">
        <f t="shared" si="8"/>
        <v>0</v>
      </c>
      <c r="Q77" s="143">
        <f t="shared" si="9"/>
        <v>0</v>
      </c>
      <c r="R77" s="143">
        <f t="shared" si="10"/>
        <v>-30</v>
      </c>
      <c r="S77" s="246">
        <v>29</v>
      </c>
      <c r="T77" s="144">
        <f t="shared" si="11"/>
        <v>0</v>
      </c>
      <c r="U77" s="144">
        <f t="shared" si="12"/>
        <v>-1814.7</v>
      </c>
      <c r="V77" s="141">
        <f t="shared" si="13"/>
        <v>229</v>
      </c>
    </row>
    <row r="78" spans="1:22" s="139" customFormat="1" ht="12.75">
      <c r="A78" s="136" t="s">
        <v>255</v>
      </c>
      <c r="B78" s="137">
        <v>42490</v>
      </c>
      <c r="C78" s="136" t="s">
        <v>258</v>
      </c>
      <c r="D78" s="138">
        <v>428.29</v>
      </c>
      <c r="E78" s="145"/>
      <c r="F78" s="147"/>
      <c r="K78" s="142">
        <v>42514</v>
      </c>
      <c r="L78" s="142"/>
      <c r="M78" s="137">
        <f>+N78</f>
        <v>42524</v>
      </c>
      <c r="N78" s="137">
        <v>42524</v>
      </c>
      <c r="O78" s="143">
        <f t="shared" si="7"/>
        <v>10</v>
      </c>
      <c r="P78" s="143">
        <f t="shared" si="8"/>
        <v>0</v>
      </c>
      <c r="Q78" s="143">
        <f t="shared" si="9"/>
        <v>10</v>
      </c>
      <c r="R78" s="143">
        <f t="shared" si="10"/>
        <v>-20</v>
      </c>
      <c r="S78" s="246">
        <v>22</v>
      </c>
      <c r="T78" s="144">
        <f t="shared" si="11"/>
        <v>0</v>
      </c>
      <c r="U78" s="144">
        <f t="shared" si="12"/>
        <v>-8565.800000000001</v>
      </c>
      <c r="V78" s="141">
        <f t="shared" si="13"/>
        <v>222</v>
      </c>
    </row>
    <row r="79" spans="1:22" s="139" customFormat="1" ht="12.75">
      <c r="A79" s="136" t="s">
        <v>259</v>
      </c>
      <c r="B79" s="137">
        <v>42503</v>
      </c>
      <c r="C79" s="136" t="s">
        <v>262</v>
      </c>
      <c r="D79" s="138">
        <v>353.37</v>
      </c>
      <c r="E79" s="145"/>
      <c r="F79" s="147"/>
      <c r="K79" s="142">
        <v>42507</v>
      </c>
      <c r="L79" s="142"/>
      <c r="M79" s="137">
        <f>+N79</f>
        <v>42507</v>
      </c>
      <c r="N79" s="137">
        <v>42507</v>
      </c>
      <c r="O79" s="143">
        <f t="shared" si="7"/>
        <v>0</v>
      </c>
      <c r="P79" s="143">
        <f t="shared" si="8"/>
        <v>0</v>
      </c>
      <c r="Q79" s="143">
        <f t="shared" si="9"/>
        <v>0</v>
      </c>
      <c r="R79" s="143">
        <f t="shared" si="10"/>
        <v>-30</v>
      </c>
      <c r="S79" s="246">
        <v>29</v>
      </c>
      <c r="T79" s="144">
        <f t="shared" si="11"/>
        <v>0</v>
      </c>
      <c r="U79" s="144">
        <f t="shared" si="12"/>
        <v>-10601.1</v>
      </c>
      <c r="V79" s="141">
        <f t="shared" si="13"/>
        <v>229</v>
      </c>
    </row>
    <row r="80" spans="1:22" s="139" customFormat="1" ht="12.75">
      <c r="A80" s="136" t="s">
        <v>260</v>
      </c>
      <c r="B80" s="137">
        <v>42503</v>
      </c>
      <c r="C80" s="136" t="s">
        <v>263</v>
      </c>
      <c r="D80" s="138">
        <v>456.46</v>
      </c>
      <c r="E80" s="145"/>
      <c r="F80" s="147"/>
      <c r="K80" s="142">
        <v>42507</v>
      </c>
      <c r="L80" s="142"/>
      <c r="M80" s="137">
        <f>+N80</f>
        <v>42507</v>
      </c>
      <c r="N80" s="137">
        <v>42507</v>
      </c>
      <c r="O80" s="143">
        <f t="shared" si="7"/>
        <v>0</v>
      </c>
      <c r="P80" s="143">
        <f t="shared" si="8"/>
        <v>0</v>
      </c>
      <c r="Q80" s="143">
        <f t="shared" si="9"/>
        <v>0</v>
      </c>
      <c r="R80" s="143">
        <f t="shared" si="10"/>
        <v>-30</v>
      </c>
      <c r="S80" s="246">
        <v>29</v>
      </c>
      <c r="T80" s="144">
        <f t="shared" si="11"/>
        <v>0</v>
      </c>
      <c r="U80" s="144">
        <f t="shared" si="12"/>
        <v>-13693.8</v>
      </c>
      <c r="V80" s="141">
        <f t="shared" si="13"/>
        <v>229</v>
      </c>
    </row>
    <row r="81" spans="1:22" s="139" customFormat="1" ht="12.75">
      <c r="A81" s="136" t="s">
        <v>261</v>
      </c>
      <c r="B81" s="137">
        <v>42490</v>
      </c>
      <c r="C81" s="136" t="s">
        <v>264</v>
      </c>
      <c r="D81" s="138">
        <v>95.42</v>
      </c>
      <c r="E81" s="145"/>
      <c r="F81" s="147"/>
      <c r="K81" s="142">
        <v>42514</v>
      </c>
      <c r="L81" s="142"/>
      <c r="M81" s="137">
        <f>+N81</f>
        <v>42524</v>
      </c>
      <c r="N81" s="137">
        <v>42524</v>
      </c>
      <c r="O81" s="143">
        <f t="shared" si="7"/>
        <v>10</v>
      </c>
      <c r="P81" s="143">
        <f t="shared" si="8"/>
        <v>0</v>
      </c>
      <c r="Q81" s="143">
        <f t="shared" si="9"/>
        <v>10</v>
      </c>
      <c r="R81" s="143">
        <f t="shared" si="10"/>
        <v>-20</v>
      </c>
      <c r="S81" s="246">
        <v>22</v>
      </c>
      <c r="T81" s="144">
        <f t="shared" si="11"/>
        <v>0</v>
      </c>
      <c r="U81" s="144">
        <f t="shared" si="12"/>
        <v>-1908.4</v>
      </c>
      <c r="V81" s="141">
        <f t="shared" si="13"/>
        <v>222</v>
      </c>
    </row>
    <row r="82" spans="1:22" s="139" customFormat="1" ht="12.75">
      <c r="A82" s="136" t="s">
        <v>265</v>
      </c>
      <c r="B82" s="137">
        <v>42502</v>
      </c>
      <c r="C82" s="136" t="s">
        <v>266</v>
      </c>
      <c r="D82" s="138">
        <v>437.77</v>
      </c>
      <c r="E82" s="145"/>
      <c r="F82" s="147"/>
      <c r="K82" s="142">
        <v>42506</v>
      </c>
      <c r="L82" s="142"/>
      <c r="M82" s="137">
        <f>+N82</f>
        <v>42506</v>
      </c>
      <c r="N82" s="137">
        <v>42506</v>
      </c>
      <c r="O82" s="143">
        <f t="shared" si="7"/>
        <v>0</v>
      </c>
      <c r="P82" s="143">
        <f t="shared" si="8"/>
        <v>0</v>
      </c>
      <c r="Q82" s="143">
        <f t="shared" si="9"/>
        <v>0</v>
      </c>
      <c r="R82" s="143">
        <f t="shared" si="10"/>
        <v>-30</v>
      </c>
      <c r="S82" s="246">
        <v>29</v>
      </c>
      <c r="T82" s="144">
        <f t="shared" si="11"/>
        <v>0</v>
      </c>
      <c r="U82" s="144">
        <f t="shared" si="12"/>
        <v>-13133.099999999999</v>
      </c>
      <c r="V82" s="141">
        <f t="shared" si="13"/>
        <v>229</v>
      </c>
    </row>
    <row r="83" spans="1:22" s="139" customFormat="1" ht="12.75">
      <c r="A83" s="136" t="s">
        <v>267</v>
      </c>
      <c r="B83" s="137">
        <v>42514</v>
      </c>
      <c r="C83" s="136" t="s">
        <v>268</v>
      </c>
      <c r="D83" s="138">
        <v>340.31</v>
      </c>
      <c r="E83" s="145"/>
      <c r="F83" s="147"/>
      <c r="K83" s="142">
        <v>42514</v>
      </c>
      <c r="L83" s="142"/>
      <c r="M83" s="137">
        <f>+N83</f>
        <v>42527</v>
      </c>
      <c r="N83" s="137">
        <v>42527</v>
      </c>
      <c r="O83" s="143">
        <f t="shared" si="7"/>
        <v>13</v>
      </c>
      <c r="P83" s="143">
        <f t="shared" si="8"/>
        <v>0</v>
      </c>
      <c r="Q83" s="143">
        <f t="shared" si="9"/>
        <v>13</v>
      </c>
      <c r="R83" s="143">
        <f t="shared" si="10"/>
        <v>-17</v>
      </c>
      <c r="S83" s="246">
        <v>22</v>
      </c>
      <c r="T83" s="144">
        <f t="shared" si="11"/>
        <v>0</v>
      </c>
      <c r="U83" s="144">
        <f t="shared" si="12"/>
        <v>-5785.27</v>
      </c>
      <c r="V83" s="141">
        <f t="shared" si="13"/>
        <v>222</v>
      </c>
    </row>
    <row r="84" spans="1:22" s="139" customFormat="1" ht="12.75">
      <c r="A84" s="136" t="s">
        <v>269</v>
      </c>
      <c r="B84" s="137">
        <v>42507</v>
      </c>
      <c r="C84" s="136" t="s">
        <v>270</v>
      </c>
      <c r="D84" s="138">
        <v>95</v>
      </c>
      <c r="E84" s="145"/>
      <c r="F84" s="147"/>
      <c r="K84" s="142">
        <v>42516</v>
      </c>
      <c r="L84" s="142"/>
      <c r="M84" s="137">
        <f>+N84</f>
        <v>42521</v>
      </c>
      <c r="N84" s="137">
        <v>42521</v>
      </c>
      <c r="O84" s="143">
        <f t="shared" si="7"/>
        <v>5</v>
      </c>
      <c r="P84" s="143">
        <f t="shared" si="8"/>
        <v>0</v>
      </c>
      <c r="Q84" s="143">
        <f t="shared" si="9"/>
        <v>5</v>
      </c>
      <c r="R84" s="143">
        <f t="shared" si="10"/>
        <v>-25</v>
      </c>
      <c r="S84" s="246">
        <v>29</v>
      </c>
      <c r="T84" s="144">
        <f t="shared" si="11"/>
        <v>0</v>
      </c>
      <c r="U84" s="144">
        <f t="shared" si="12"/>
        <v>-2375</v>
      </c>
      <c r="V84" s="141">
        <f t="shared" si="13"/>
        <v>229</v>
      </c>
    </row>
    <row r="85" spans="1:22" s="139" customFormat="1" ht="12.75">
      <c r="A85" s="136" t="s">
        <v>271</v>
      </c>
      <c r="B85" s="137">
        <v>42499</v>
      </c>
      <c r="C85" s="136" t="s">
        <v>272</v>
      </c>
      <c r="D85" s="138">
        <v>145.2</v>
      </c>
      <c r="E85" s="145"/>
      <c r="F85" s="147"/>
      <c r="K85" s="142">
        <v>42516</v>
      </c>
      <c r="L85" s="142"/>
      <c r="M85" s="137">
        <f>+N85</f>
        <v>42521</v>
      </c>
      <c r="N85" s="137">
        <v>42521</v>
      </c>
      <c r="O85" s="143">
        <f t="shared" si="7"/>
        <v>5</v>
      </c>
      <c r="P85" s="143">
        <f t="shared" si="8"/>
        <v>0</v>
      </c>
      <c r="Q85" s="143">
        <f t="shared" si="9"/>
        <v>5</v>
      </c>
      <c r="R85" s="143">
        <f t="shared" si="10"/>
        <v>-25</v>
      </c>
      <c r="S85" s="246">
        <v>29</v>
      </c>
      <c r="T85" s="144">
        <f t="shared" si="11"/>
        <v>0</v>
      </c>
      <c r="U85" s="144">
        <f t="shared" si="12"/>
        <v>-3629.9999999999995</v>
      </c>
      <c r="V85" s="141">
        <f t="shared" si="13"/>
        <v>229</v>
      </c>
    </row>
    <row r="86" spans="1:22" s="139" customFormat="1" ht="12.75">
      <c r="A86" s="136" t="s">
        <v>273</v>
      </c>
      <c r="B86" s="137">
        <v>42493</v>
      </c>
      <c r="C86" s="136" t="s">
        <v>274</v>
      </c>
      <c r="D86" s="138">
        <v>253.1</v>
      </c>
      <c r="E86" s="145"/>
      <c r="F86" s="147"/>
      <c r="K86" s="142">
        <v>42516</v>
      </c>
      <c r="L86" s="142"/>
      <c r="M86" s="137">
        <f>+N86</f>
        <v>42521</v>
      </c>
      <c r="N86" s="137">
        <v>42521</v>
      </c>
      <c r="O86" s="143">
        <f t="shared" si="7"/>
        <v>5</v>
      </c>
      <c r="P86" s="143">
        <f t="shared" si="8"/>
        <v>0</v>
      </c>
      <c r="Q86" s="143">
        <f t="shared" si="9"/>
        <v>5</v>
      </c>
      <c r="R86" s="143">
        <f t="shared" si="10"/>
        <v>-25</v>
      </c>
      <c r="S86" s="246">
        <v>29</v>
      </c>
      <c r="T86" s="144">
        <f t="shared" si="11"/>
        <v>0</v>
      </c>
      <c r="U86" s="144">
        <f t="shared" si="12"/>
        <v>-6327.5</v>
      </c>
      <c r="V86" s="141">
        <f t="shared" si="13"/>
        <v>229</v>
      </c>
    </row>
    <row r="87" spans="1:22" s="139" customFormat="1" ht="12.75">
      <c r="A87" s="136" t="s">
        <v>275</v>
      </c>
      <c r="B87" s="137">
        <v>42493</v>
      </c>
      <c r="C87" s="136" t="s">
        <v>277</v>
      </c>
      <c r="D87" s="138">
        <v>62.13</v>
      </c>
      <c r="E87" s="145"/>
      <c r="F87" s="147"/>
      <c r="K87" s="142">
        <v>42516</v>
      </c>
      <c r="L87" s="142"/>
      <c r="M87" s="137">
        <f>+N87</f>
        <v>42521</v>
      </c>
      <c r="N87" s="137">
        <v>42521</v>
      </c>
      <c r="O87" s="143">
        <f t="shared" si="7"/>
        <v>5</v>
      </c>
      <c r="P87" s="143">
        <f t="shared" si="8"/>
        <v>0</v>
      </c>
      <c r="Q87" s="143">
        <f t="shared" si="9"/>
        <v>5</v>
      </c>
      <c r="R87" s="143">
        <f t="shared" si="10"/>
        <v>-25</v>
      </c>
      <c r="S87" s="246">
        <v>29</v>
      </c>
      <c r="T87" s="144">
        <f t="shared" si="11"/>
        <v>0</v>
      </c>
      <c r="U87" s="144">
        <f t="shared" si="12"/>
        <v>-1553.25</v>
      </c>
      <c r="V87" s="141">
        <f t="shared" si="13"/>
        <v>229</v>
      </c>
    </row>
    <row r="88" spans="1:22" s="139" customFormat="1" ht="12.75">
      <c r="A88" s="136" t="s">
        <v>276</v>
      </c>
      <c r="B88" s="137">
        <v>42509</v>
      </c>
      <c r="C88" s="136" t="s">
        <v>278</v>
      </c>
      <c r="D88" s="138">
        <v>50.36</v>
      </c>
      <c r="E88" s="145"/>
      <c r="F88" s="147"/>
      <c r="K88" s="142">
        <v>42516</v>
      </c>
      <c r="L88" s="142"/>
      <c r="M88" s="137">
        <f>+N88</f>
        <v>42517</v>
      </c>
      <c r="N88" s="137">
        <v>42517</v>
      </c>
      <c r="O88" s="143">
        <f t="shared" si="7"/>
        <v>1</v>
      </c>
      <c r="P88" s="143">
        <f t="shared" si="8"/>
        <v>0</v>
      </c>
      <c r="Q88" s="143">
        <f t="shared" si="9"/>
        <v>1</v>
      </c>
      <c r="R88" s="143">
        <f t="shared" si="10"/>
        <v>-29</v>
      </c>
      <c r="S88" s="246">
        <v>22</v>
      </c>
      <c r="T88" s="144">
        <f t="shared" si="11"/>
        <v>0</v>
      </c>
      <c r="U88" s="144">
        <f t="shared" si="12"/>
        <v>-1460.44</v>
      </c>
      <c r="V88" s="141">
        <f t="shared" si="13"/>
        <v>222</v>
      </c>
    </row>
    <row r="89" spans="1:22" s="139" customFormat="1" ht="12.75">
      <c r="A89" s="136" t="s">
        <v>279</v>
      </c>
      <c r="B89" s="137">
        <v>42500</v>
      </c>
      <c r="C89" s="136" t="s">
        <v>280</v>
      </c>
      <c r="D89" s="138">
        <v>151.25</v>
      </c>
      <c r="E89" s="145"/>
      <c r="F89" s="147"/>
      <c r="K89" s="142">
        <v>42520</v>
      </c>
      <c r="L89" s="142"/>
      <c r="M89" s="137">
        <f>+N89</f>
        <v>42535</v>
      </c>
      <c r="N89" s="137">
        <v>42535</v>
      </c>
      <c r="O89" s="143">
        <f t="shared" si="7"/>
        <v>15</v>
      </c>
      <c r="P89" s="143">
        <f t="shared" si="8"/>
        <v>0</v>
      </c>
      <c r="Q89" s="143">
        <f t="shared" si="9"/>
        <v>15</v>
      </c>
      <c r="R89" s="143">
        <f t="shared" si="10"/>
        <v>-15</v>
      </c>
      <c r="S89" s="246">
        <v>21</v>
      </c>
      <c r="T89" s="144">
        <f t="shared" si="11"/>
        <v>0</v>
      </c>
      <c r="U89" s="144">
        <f t="shared" si="12"/>
        <v>-2268.75</v>
      </c>
      <c r="V89" s="141">
        <f t="shared" si="13"/>
        <v>221</v>
      </c>
    </row>
    <row r="90" spans="1:22" s="139" customFormat="1" ht="12.75">
      <c r="A90" s="136" t="s">
        <v>281</v>
      </c>
      <c r="B90" s="137">
        <v>42503</v>
      </c>
      <c r="C90" s="136" t="s">
        <v>282</v>
      </c>
      <c r="D90" s="138">
        <v>349.73</v>
      </c>
      <c r="E90" s="145"/>
      <c r="F90" s="147"/>
      <c r="K90" s="142">
        <v>42507</v>
      </c>
      <c r="L90" s="142"/>
      <c r="M90" s="137">
        <f>+N90</f>
        <v>42507</v>
      </c>
      <c r="N90" s="137">
        <v>42507</v>
      </c>
      <c r="O90" s="143">
        <f t="shared" si="7"/>
        <v>0</v>
      </c>
      <c r="P90" s="143">
        <f t="shared" si="8"/>
        <v>0</v>
      </c>
      <c r="Q90" s="143">
        <f t="shared" si="9"/>
        <v>0</v>
      </c>
      <c r="R90" s="143">
        <f t="shared" si="10"/>
        <v>-30</v>
      </c>
      <c r="S90" s="246">
        <v>29</v>
      </c>
      <c r="T90" s="144">
        <f t="shared" si="11"/>
        <v>0</v>
      </c>
      <c r="U90" s="144">
        <f t="shared" si="12"/>
        <v>-10491.900000000001</v>
      </c>
      <c r="V90" s="141">
        <f t="shared" si="13"/>
        <v>229</v>
      </c>
    </row>
    <row r="91" spans="1:22" s="139" customFormat="1" ht="12.75">
      <c r="A91" s="136" t="s">
        <v>283</v>
      </c>
      <c r="B91" s="137">
        <v>42491</v>
      </c>
      <c r="C91" s="136" t="s">
        <v>284</v>
      </c>
      <c r="D91" s="138">
        <v>126.23</v>
      </c>
      <c r="E91" s="145"/>
      <c r="F91" s="147"/>
      <c r="K91" s="142">
        <v>42492</v>
      </c>
      <c r="L91" s="142"/>
      <c r="M91" s="137">
        <f>+N91</f>
        <v>42492</v>
      </c>
      <c r="N91" s="137">
        <v>42492</v>
      </c>
      <c r="O91" s="143">
        <f t="shared" si="7"/>
        <v>0</v>
      </c>
      <c r="P91" s="143">
        <f t="shared" si="8"/>
        <v>0</v>
      </c>
      <c r="Q91" s="143">
        <f t="shared" si="9"/>
        <v>0</v>
      </c>
      <c r="R91" s="143">
        <f t="shared" si="10"/>
        <v>-30</v>
      </c>
      <c r="S91" s="246">
        <v>29</v>
      </c>
      <c r="T91" s="144">
        <f t="shared" si="11"/>
        <v>0</v>
      </c>
      <c r="U91" s="144">
        <f t="shared" si="12"/>
        <v>-3786.9</v>
      </c>
      <c r="V91" s="141">
        <f t="shared" si="13"/>
        <v>229</v>
      </c>
    </row>
    <row r="92" spans="1:22" s="139" customFormat="1" ht="12.75">
      <c r="A92" s="136" t="s">
        <v>285</v>
      </c>
      <c r="B92" s="137">
        <v>42475</v>
      </c>
      <c r="C92" s="136" t="s">
        <v>289</v>
      </c>
      <c r="D92" s="138">
        <v>463.83</v>
      </c>
      <c r="E92" s="145"/>
      <c r="F92" s="147"/>
      <c r="K92" s="142">
        <v>42479</v>
      </c>
      <c r="L92" s="142"/>
      <c r="M92" s="137">
        <f>+N92</f>
        <v>42479</v>
      </c>
      <c r="N92" s="137">
        <v>42479</v>
      </c>
      <c r="O92" s="143">
        <f t="shared" si="7"/>
        <v>0</v>
      </c>
      <c r="P92" s="143">
        <f t="shared" si="8"/>
        <v>0</v>
      </c>
      <c r="Q92" s="143">
        <f t="shared" si="9"/>
        <v>0</v>
      </c>
      <c r="R92" s="143">
        <f t="shared" si="10"/>
        <v>-30</v>
      </c>
      <c r="S92" s="246">
        <v>29</v>
      </c>
      <c r="T92" s="144">
        <f t="shared" si="11"/>
        <v>0</v>
      </c>
      <c r="U92" s="144">
        <f t="shared" si="12"/>
        <v>-13914.9</v>
      </c>
      <c r="V92" s="141">
        <f t="shared" si="13"/>
        <v>229</v>
      </c>
    </row>
    <row r="93" spans="1:22" s="139" customFormat="1" ht="12.75">
      <c r="A93" s="136" t="s">
        <v>286</v>
      </c>
      <c r="B93" s="137">
        <v>42509</v>
      </c>
      <c r="C93" s="136" t="s">
        <v>290</v>
      </c>
      <c r="D93" s="138">
        <v>74.48</v>
      </c>
      <c r="E93" s="145"/>
      <c r="F93" s="147"/>
      <c r="K93" s="142">
        <v>42509</v>
      </c>
      <c r="L93" s="142"/>
      <c r="M93" s="137">
        <f>+N93</f>
        <v>42509</v>
      </c>
      <c r="N93" s="137">
        <v>42509</v>
      </c>
      <c r="O93" s="143">
        <f t="shared" si="7"/>
        <v>0</v>
      </c>
      <c r="P93" s="143">
        <f t="shared" si="8"/>
        <v>0</v>
      </c>
      <c r="Q93" s="143">
        <f t="shared" si="9"/>
        <v>0</v>
      </c>
      <c r="R93" s="143">
        <f t="shared" si="10"/>
        <v>-30</v>
      </c>
      <c r="S93" s="246">
        <v>29</v>
      </c>
      <c r="T93" s="144">
        <f t="shared" si="11"/>
        <v>0</v>
      </c>
      <c r="U93" s="144">
        <f t="shared" si="12"/>
        <v>-2234.4</v>
      </c>
      <c r="V93" s="141">
        <f t="shared" si="13"/>
        <v>229</v>
      </c>
    </row>
    <row r="94" spans="1:22" s="139" customFormat="1" ht="12.75">
      <c r="A94" s="136" t="s">
        <v>287</v>
      </c>
      <c r="B94" s="137">
        <v>42479</v>
      </c>
      <c r="C94" s="136" t="s">
        <v>291</v>
      </c>
      <c r="D94" s="138">
        <v>74.48</v>
      </c>
      <c r="E94" s="145"/>
      <c r="F94" s="147"/>
      <c r="K94" s="142">
        <v>42479</v>
      </c>
      <c r="L94" s="142"/>
      <c r="M94" s="137">
        <f>+N94</f>
        <v>42479</v>
      </c>
      <c r="N94" s="137">
        <v>42479</v>
      </c>
      <c r="O94" s="143">
        <f t="shared" si="7"/>
        <v>0</v>
      </c>
      <c r="P94" s="143">
        <f t="shared" si="8"/>
        <v>0</v>
      </c>
      <c r="Q94" s="143">
        <f t="shared" si="9"/>
        <v>0</v>
      </c>
      <c r="R94" s="143">
        <f t="shared" si="10"/>
        <v>-30</v>
      </c>
      <c r="S94" s="246">
        <v>29</v>
      </c>
      <c r="T94" s="144">
        <f t="shared" si="11"/>
        <v>0</v>
      </c>
      <c r="U94" s="144">
        <f t="shared" si="12"/>
        <v>-2234.4</v>
      </c>
      <c r="V94" s="141">
        <f t="shared" si="13"/>
        <v>229</v>
      </c>
    </row>
    <row r="95" spans="1:22" s="139" customFormat="1" ht="12.75">
      <c r="A95" s="136" t="s">
        <v>288</v>
      </c>
      <c r="B95" s="137">
        <v>42489</v>
      </c>
      <c r="C95" s="136" t="s">
        <v>292</v>
      </c>
      <c r="D95" s="138">
        <v>508.2</v>
      </c>
      <c r="E95" s="145"/>
      <c r="F95" s="147"/>
      <c r="K95" s="142">
        <v>42521</v>
      </c>
      <c r="L95" s="142"/>
      <c r="M95" s="137">
        <f>+N95</f>
        <v>42535</v>
      </c>
      <c r="N95" s="137">
        <v>42535</v>
      </c>
      <c r="O95" s="143">
        <f t="shared" si="7"/>
        <v>14</v>
      </c>
      <c r="P95" s="143">
        <f t="shared" si="8"/>
        <v>0</v>
      </c>
      <c r="Q95" s="143">
        <f t="shared" si="9"/>
        <v>14</v>
      </c>
      <c r="R95" s="143">
        <f t="shared" si="10"/>
        <v>-16</v>
      </c>
      <c r="S95" s="246">
        <v>29</v>
      </c>
      <c r="T95" s="144">
        <f t="shared" si="11"/>
        <v>0</v>
      </c>
      <c r="U95" s="144">
        <f t="shared" si="12"/>
        <v>-8131.2</v>
      </c>
      <c r="V95" s="141">
        <f t="shared" si="13"/>
        <v>229</v>
      </c>
    </row>
    <row r="96" spans="1:22" s="139" customFormat="1" ht="12.75">
      <c r="A96" s="136" t="s">
        <v>293</v>
      </c>
      <c r="B96" s="137">
        <v>42513</v>
      </c>
      <c r="C96" s="136" t="s">
        <v>294</v>
      </c>
      <c r="D96" s="138">
        <v>2964.5</v>
      </c>
      <c r="E96" s="145"/>
      <c r="F96" s="147"/>
      <c r="K96" s="142">
        <v>42521</v>
      </c>
      <c r="L96" s="142"/>
      <c r="M96" s="137">
        <f>+N96</f>
        <v>42535</v>
      </c>
      <c r="N96" s="137">
        <v>42535</v>
      </c>
      <c r="O96" s="143">
        <f t="shared" si="7"/>
        <v>14</v>
      </c>
      <c r="P96" s="143">
        <f t="shared" si="8"/>
        <v>0</v>
      </c>
      <c r="Q96" s="143">
        <f t="shared" si="9"/>
        <v>14</v>
      </c>
      <c r="R96" s="143">
        <f t="shared" si="10"/>
        <v>-16</v>
      </c>
      <c r="S96" s="246">
        <v>29</v>
      </c>
      <c r="T96" s="144">
        <f t="shared" si="11"/>
        <v>0</v>
      </c>
      <c r="U96" s="144">
        <f t="shared" si="12"/>
        <v>-47432</v>
      </c>
      <c r="V96" s="141">
        <f t="shared" si="13"/>
        <v>229</v>
      </c>
    </row>
    <row r="97" spans="1:22" s="139" customFormat="1" ht="12.75">
      <c r="A97" s="136" t="s">
        <v>295</v>
      </c>
      <c r="B97" s="137">
        <v>42510</v>
      </c>
      <c r="C97" s="136" t="s">
        <v>299</v>
      </c>
      <c r="D97" s="138">
        <v>1130.14</v>
      </c>
      <c r="E97" s="145"/>
      <c r="F97" s="147"/>
      <c r="K97" s="142">
        <v>42523</v>
      </c>
      <c r="L97" s="142"/>
      <c r="M97" s="137">
        <f>+N97</f>
        <v>42535</v>
      </c>
      <c r="N97" s="137">
        <v>42535</v>
      </c>
      <c r="O97" s="143">
        <f t="shared" si="7"/>
        <v>12</v>
      </c>
      <c r="P97" s="143">
        <f t="shared" si="8"/>
        <v>0</v>
      </c>
      <c r="Q97" s="143">
        <f t="shared" si="9"/>
        <v>12</v>
      </c>
      <c r="R97" s="143">
        <f t="shared" si="10"/>
        <v>-18</v>
      </c>
      <c r="S97" s="246">
        <v>29</v>
      </c>
      <c r="T97" s="144">
        <f t="shared" si="11"/>
        <v>0</v>
      </c>
      <c r="U97" s="144">
        <f t="shared" si="12"/>
        <v>-20342.52</v>
      </c>
      <c r="V97" s="141">
        <f t="shared" si="13"/>
        <v>229</v>
      </c>
    </row>
    <row r="98" spans="1:22" s="139" customFormat="1" ht="12.75">
      <c r="A98" s="136" t="s">
        <v>296</v>
      </c>
      <c r="B98" s="137">
        <v>42514</v>
      </c>
      <c r="C98" s="136" t="s">
        <v>300</v>
      </c>
      <c r="D98" s="138">
        <v>151.25</v>
      </c>
      <c r="E98" s="145"/>
      <c r="F98" s="147"/>
      <c r="K98" s="142">
        <v>42523</v>
      </c>
      <c r="L98" s="142"/>
      <c r="M98" s="137">
        <f>+N98</f>
        <v>42535</v>
      </c>
      <c r="N98" s="137">
        <v>42535</v>
      </c>
      <c r="O98" s="143">
        <f t="shared" si="7"/>
        <v>12</v>
      </c>
      <c r="P98" s="143">
        <f t="shared" si="8"/>
        <v>0</v>
      </c>
      <c r="Q98" s="143">
        <f t="shared" si="9"/>
        <v>12</v>
      </c>
      <c r="R98" s="143">
        <f t="shared" si="10"/>
        <v>-18</v>
      </c>
      <c r="S98" s="246">
        <v>21</v>
      </c>
      <c r="T98" s="144">
        <f t="shared" si="11"/>
        <v>0</v>
      </c>
      <c r="U98" s="144">
        <f t="shared" si="12"/>
        <v>-2722.5</v>
      </c>
      <c r="V98" s="141">
        <f t="shared" si="13"/>
        <v>221</v>
      </c>
    </row>
    <row r="99" spans="1:22" s="139" customFormat="1" ht="12.75">
      <c r="A99" s="136" t="s">
        <v>297</v>
      </c>
      <c r="B99" s="137">
        <v>42495</v>
      </c>
      <c r="C99" s="136" t="s">
        <v>301</v>
      </c>
      <c r="D99" s="138">
        <v>274.94</v>
      </c>
      <c r="E99" s="145"/>
      <c r="F99" s="147"/>
      <c r="K99" s="142">
        <v>42515</v>
      </c>
      <c r="L99" s="142"/>
      <c r="M99" s="137">
        <f>+N99</f>
        <v>42515</v>
      </c>
      <c r="N99" s="137">
        <v>42515</v>
      </c>
      <c r="O99" s="143">
        <f t="shared" si="7"/>
        <v>0</v>
      </c>
      <c r="P99" s="143">
        <f t="shared" si="8"/>
        <v>0</v>
      </c>
      <c r="Q99" s="143">
        <f t="shared" si="9"/>
        <v>0</v>
      </c>
      <c r="R99" s="143">
        <f t="shared" si="10"/>
        <v>-30</v>
      </c>
      <c r="S99" s="246">
        <v>21</v>
      </c>
      <c r="T99" s="144">
        <f t="shared" si="11"/>
        <v>0</v>
      </c>
      <c r="U99" s="144">
        <f t="shared" si="12"/>
        <v>-8248.2</v>
      </c>
      <c r="V99" s="141">
        <f t="shared" si="13"/>
        <v>221</v>
      </c>
    </row>
    <row r="100" spans="1:22" s="139" customFormat="1" ht="12.75">
      <c r="A100" s="136" t="s">
        <v>298</v>
      </c>
      <c r="B100" s="137">
        <v>42517</v>
      </c>
      <c r="C100" s="136" t="s">
        <v>302</v>
      </c>
      <c r="D100" s="138">
        <v>36.65</v>
      </c>
      <c r="E100" s="145"/>
      <c r="F100" s="147"/>
      <c r="K100" s="142">
        <v>42527</v>
      </c>
      <c r="L100" s="142"/>
      <c r="M100" s="137">
        <f>+N100</f>
        <v>42527</v>
      </c>
      <c r="N100" s="137">
        <v>42527</v>
      </c>
      <c r="O100" s="143">
        <f t="shared" si="7"/>
        <v>0</v>
      </c>
      <c r="P100" s="143">
        <f t="shared" si="8"/>
        <v>0</v>
      </c>
      <c r="Q100" s="143">
        <f t="shared" si="9"/>
        <v>0</v>
      </c>
      <c r="R100" s="143">
        <f t="shared" si="10"/>
        <v>-30</v>
      </c>
      <c r="S100" s="246">
        <v>29</v>
      </c>
      <c r="T100" s="144">
        <f t="shared" si="11"/>
        <v>0</v>
      </c>
      <c r="U100" s="144">
        <f t="shared" si="12"/>
        <v>-1099.5</v>
      </c>
      <c r="V100" s="141">
        <f t="shared" si="13"/>
        <v>229</v>
      </c>
    </row>
    <row r="101" spans="1:22" s="139" customFormat="1" ht="12.75">
      <c r="A101" s="136" t="s">
        <v>303</v>
      </c>
      <c r="B101" s="137">
        <v>42517</v>
      </c>
      <c r="C101" s="136" t="s">
        <v>305</v>
      </c>
      <c r="D101" s="138">
        <v>28.39</v>
      </c>
      <c r="E101" s="145"/>
      <c r="F101" s="147"/>
      <c r="K101" s="142">
        <v>42527</v>
      </c>
      <c r="L101" s="142"/>
      <c r="M101" s="137">
        <f>+N101</f>
        <v>42527</v>
      </c>
      <c r="N101" s="137">
        <v>42527</v>
      </c>
      <c r="O101" s="143">
        <f t="shared" si="7"/>
        <v>0</v>
      </c>
      <c r="P101" s="143">
        <f t="shared" si="8"/>
        <v>0</v>
      </c>
      <c r="Q101" s="143">
        <f t="shared" si="9"/>
        <v>0</v>
      </c>
      <c r="R101" s="143">
        <f t="shared" si="10"/>
        <v>-30</v>
      </c>
      <c r="S101" s="246">
        <v>29</v>
      </c>
      <c r="T101" s="144">
        <f t="shared" si="11"/>
        <v>0</v>
      </c>
      <c r="U101" s="144">
        <f t="shared" si="12"/>
        <v>-851.7</v>
      </c>
      <c r="V101" s="141">
        <f t="shared" si="13"/>
        <v>229</v>
      </c>
    </row>
    <row r="102" spans="1:22" s="139" customFormat="1" ht="12.75">
      <c r="A102" s="136" t="s">
        <v>304</v>
      </c>
      <c r="B102" s="137">
        <v>42520</v>
      </c>
      <c r="C102" s="136" t="s">
        <v>306</v>
      </c>
      <c r="D102" s="138">
        <v>30</v>
      </c>
      <c r="E102" s="145"/>
      <c r="F102" s="147"/>
      <c r="K102" s="142">
        <v>42520</v>
      </c>
      <c r="L102" s="142"/>
      <c r="M102" s="137">
        <f>+N102</f>
        <v>42520</v>
      </c>
      <c r="N102" s="137">
        <v>42520</v>
      </c>
      <c r="O102" s="143">
        <f t="shared" si="7"/>
        <v>0</v>
      </c>
      <c r="P102" s="143">
        <f t="shared" si="8"/>
        <v>0</v>
      </c>
      <c r="Q102" s="143">
        <f t="shared" si="9"/>
        <v>0</v>
      </c>
      <c r="R102" s="143">
        <f t="shared" si="10"/>
        <v>-30</v>
      </c>
      <c r="S102" s="246">
        <v>29</v>
      </c>
      <c r="T102" s="144">
        <f t="shared" si="11"/>
        <v>0</v>
      </c>
      <c r="U102" s="144">
        <f t="shared" si="12"/>
        <v>-900</v>
      </c>
      <c r="V102" s="141">
        <f t="shared" si="13"/>
        <v>229</v>
      </c>
    </row>
    <row r="103" spans="1:22" s="139" customFormat="1" ht="12.75">
      <c r="A103" s="136" t="s">
        <v>307</v>
      </c>
      <c r="B103" s="137">
        <v>42521</v>
      </c>
      <c r="C103" s="136" t="s">
        <v>308</v>
      </c>
      <c r="D103" s="138">
        <v>860.88</v>
      </c>
      <c r="E103" s="145"/>
      <c r="F103" s="147"/>
      <c r="K103" s="142">
        <v>42528</v>
      </c>
      <c r="L103" s="142"/>
      <c r="M103" s="137">
        <f>+N103</f>
        <v>42535</v>
      </c>
      <c r="N103" s="137">
        <v>42535</v>
      </c>
      <c r="O103" s="143">
        <f t="shared" si="7"/>
        <v>7</v>
      </c>
      <c r="P103" s="143">
        <f t="shared" si="8"/>
        <v>0</v>
      </c>
      <c r="Q103" s="143">
        <f t="shared" si="9"/>
        <v>7</v>
      </c>
      <c r="R103" s="143">
        <f t="shared" si="10"/>
        <v>-23</v>
      </c>
      <c r="S103" s="246">
        <v>29</v>
      </c>
      <c r="T103" s="144">
        <f t="shared" si="11"/>
        <v>0</v>
      </c>
      <c r="U103" s="144">
        <f t="shared" si="12"/>
        <v>-19800.24</v>
      </c>
      <c r="V103" s="141">
        <f t="shared" si="13"/>
        <v>229</v>
      </c>
    </row>
    <row r="104" spans="1:22" s="139" customFormat="1" ht="12.75">
      <c r="A104" s="136" t="s">
        <v>309</v>
      </c>
      <c r="B104" s="137">
        <v>42521</v>
      </c>
      <c r="C104" s="136" t="s">
        <v>313</v>
      </c>
      <c r="D104" s="138">
        <v>32.73</v>
      </c>
      <c r="E104" s="145"/>
      <c r="F104" s="147"/>
      <c r="K104" s="142">
        <v>42528</v>
      </c>
      <c r="L104" s="142"/>
      <c r="M104" s="137">
        <f>+N104</f>
        <v>42529</v>
      </c>
      <c r="N104" s="137">
        <v>42529</v>
      </c>
      <c r="O104" s="143">
        <f t="shared" si="7"/>
        <v>1</v>
      </c>
      <c r="P104" s="143">
        <f t="shared" si="8"/>
        <v>0</v>
      </c>
      <c r="Q104" s="143">
        <f t="shared" si="9"/>
        <v>1</v>
      </c>
      <c r="R104" s="143">
        <f t="shared" si="10"/>
        <v>-29</v>
      </c>
      <c r="S104" s="246">
        <v>29</v>
      </c>
      <c r="T104" s="144">
        <f t="shared" si="11"/>
        <v>0</v>
      </c>
      <c r="U104" s="144">
        <f t="shared" si="12"/>
        <v>-949.17</v>
      </c>
      <c r="V104" s="141">
        <f t="shared" si="13"/>
        <v>229</v>
      </c>
    </row>
    <row r="105" spans="1:22" s="139" customFormat="1" ht="12.75">
      <c r="A105" s="136" t="s">
        <v>310</v>
      </c>
      <c r="B105" s="137">
        <v>42521</v>
      </c>
      <c r="C105" s="136" t="s">
        <v>314</v>
      </c>
      <c r="D105" s="138">
        <v>40.79</v>
      </c>
      <c r="E105" s="145"/>
      <c r="F105" s="147"/>
      <c r="K105" s="142">
        <v>42528</v>
      </c>
      <c r="L105" s="142"/>
      <c r="M105" s="137">
        <f>+N105</f>
        <v>42529</v>
      </c>
      <c r="N105" s="137">
        <v>42529</v>
      </c>
      <c r="O105" s="143">
        <f t="shared" si="7"/>
        <v>1</v>
      </c>
      <c r="P105" s="143">
        <f t="shared" si="8"/>
        <v>0</v>
      </c>
      <c r="Q105" s="143">
        <f t="shared" si="9"/>
        <v>1</v>
      </c>
      <c r="R105" s="143">
        <f t="shared" si="10"/>
        <v>-29</v>
      </c>
      <c r="S105" s="246">
        <v>29</v>
      </c>
      <c r="T105" s="144">
        <f t="shared" si="11"/>
        <v>0</v>
      </c>
      <c r="U105" s="144">
        <f t="shared" si="12"/>
        <v>-1182.91</v>
      </c>
      <c r="V105" s="141">
        <f t="shared" si="13"/>
        <v>229</v>
      </c>
    </row>
    <row r="106" spans="1:22" s="139" customFormat="1" ht="12.75">
      <c r="A106" s="136" t="s">
        <v>311</v>
      </c>
      <c r="B106" s="137">
        <v>42520</v>
      </c>
      <c r="C106" s="136" t="s">
        <v>315</v>
      </c>
      <c r="D106" s="138">
        <v>14.8</v>
      </c>
      <c r="E106" s="145"/>
      <c r="F106" s="147"/>
      <c r="K106" s="142">
        <v>42528</v>
      </c>
      <c r="L106" s="142"/>
      <c r="M106" s="137">
        <f>+N106</f>
        <v>42528</v>
      </c>
      <c r="N106" s="137">
        <v>42528</v>
      </c>
      <c r="O106" s="143">
        <f t="shared" si="7"/>
        <v>0</v>
      </c>
      <c r="P106" s="143">
        <f t="shared" si="8"/>
        <v>0</v>
      </c>
      <c r="Q106" s="143">
        <f t="shared" si="9"/>
        <v>0</v>
      </c>
      <c r="R106" s="143">
        <f t="shared" si="10"/>
        <v>-30</v>
      </c>
      <c r="S106" s="246">
        <v>29</v>
      </c>
      <c r="T106" s="144">
        <f t="shared" si="11"/>
        <v>0</v>
      </c>
      <c r="U106" s="144">
        <f t="shared" si="12"/>
        <v>-444</v>
      </c>
      <c r="V106" s="141">
        <f t="shared" si="13"/>
        <v>229</v>
      </c>
    </row>
    <row r="107" spans="1:22" s="139" customFormat="1" ht="12.75">
      <c r="A107" s="136" t="s">
        <v>312</v>
      </c>
      <c r="B107" s="137">
        <v>42520</v>
      </c>
      <c r="C107" s="136" t="s">
        <v>316</v>
      </c>
      <c r="D107" s="138">
        <v>11.74</v>
      </c>
      <c r="E107" s="145"/>
      <c r="F107" s="147"/>
      <c r="K107" s="142">
        <v>42528</v>
      </c>
      <c r="L107" s="142"/>
      <c r="M107" s="137">
        <f>+N107</f>
        <v>42528</v>
      </c>
      <c r="N107" s="137">
        <v>42528</v>
      </c>
      <c r="O107" s="143">
        <f t="shared" si="7"/>
        <v>0</v>
      </c>
      <c r="P107" s="143">
        <f t="shared" si="8"/>
        <v>0</v>
      </c>
      <c r="Q107" s="143">
        <f t="shared" si="9"/>
        <v>0</v>
      </c>
      <c r="R107" s="143">
        <f t="shared" si="10"/>
        <v>-30</v>
      </c>
      <c r="S107" s="246">
        <v>29</v>
      </c>
      <c r="T107" s="144">
        <f t="shared" si="11"/>
        <v>0</v>
      </c>
      <c r="U107" s="144">
        <f t="shared" si="12"/>
        <v>-352.2</v>
      </c>
      <c r="V107" s="141">
        <f t="shared" si="13"/>
        <v>229</v>
      </c>
    </row>
    <row r="108" spans="1:22" s="139" customFormat="1" ht="12.75">
      <c r="A108" s="136" t="s">
        <v>317</v>
      </c>
      <c r="B108" s="137">
        <v>42521</v>
      </c>
      <c r="C108" s="136" t="s">
        <v>318</v>
      </c>
      <c r="D108" s="138">
        <v>53.74</v>
      </c>
      <c r="E108" s="145"/>
      <c r="F108" s="147"/>
      <c r="K108" s="142">
        <v>42528</v>
      </c>
      <c r="L108" s="142"/>
      <c r="M108" s="137">
        <f>+N108</f>
        <v>42529</v>
      </c>
      <c r="N108" s="137">
        <v>42529</v>
      </c>
      <c r="O108" s="143">
        <f t="shared" si="7"/>
        <v>1</v>
      </c>
      <c r="P108" s="143">
        <f t="shared" si="8"/>
        <v>0</v>
      </c>
      <c r="Q108" s="143">
        <f t="shared" si="9"/>
        <v>1</v>
      </c>
      <c r="R108" s="143">
        <f t="shared" si="10"/>
        <v>-29</v>
      </c>
      <c r="S108" s="246">
        <v>29</v>
      </c>
      <c r="T108" s="144">
        <f t="shared" si="11"/>
        <v>0</v>
      </c>
      <c r="U108" s="144">
        <f t="shared" si="12"/>
        <v>-1558.46</v>
      </c>
      <c r="V108" s="141">
        <f t="shared" si="13"/>
        <v>229</v>
      </c>
    </row>
    <row r="109" spans="1:22" s="139" customFormat="1" ht="12.75">
      <c r="A109" s="242" t="s">
        <v>323</v>
      </c>
      <c r="B109" s="137">
        <v>42522</v>
      </c>
      <c r="C109" s="136" t="s">
        <v>319</v>
      </c>
      <c r="D109" s="138">
        <v>77.05</v>
      </c>
      <c r="E109" s="145"/>
      <c r="F109" s="147"/>
      <c r="K109" s="142">
        <v>42528</v>
      </c>
      <c r="L109" s="142"/>
      <c r="M109" s="137">
        <f>+N109</f>
        <v>42530</v>
      </c>
      <c r="N109" s="137">
        <v>42530</v>
      </c>
      <c r="O109" s="143">
        <f t="shared" si="7"/>
        <v>2</v>
      </c>
      <c r="P109" s="143">
        <f t="shared" si="8"/>
        <v>0</v>
      </c>
      <c r="Q109" s="143">
        <f t="shared" si="9"/>
        <v>2</v>
      </c>
      <c r="R109" s="143">
        <f t="shared" si="10"/>
        <v>-28</v>
      </c>
      <c r="S109" s="246">
        <v>29</v>
      </c>
      <c r="T109" s="144">
        <f t="shared" si="11"/>
        <v>0</v>
      </c>
      <c r="U109" s="144">
        <f t="shared" si="12"/>
        <v>-2157.4</v>
      </c>
      <c r="V109" s="141">
        <f t="shared" si="13"/>
        <v>229</v>
      </c>
    </row>
    <row r="110" spans="1:22" s="139" customFormat="1" ht="12.75">
      <c r="A110" s="242" t="s">
        <v>326</v>
      </c>
      <c r="B110" s="137">
        <v>42515</v>
      </c>
      <c r="C110" s="136" t="s">
        <v>320</v>
      </c>
      <c r="D110" s="138">
        <v>239.99</v>
      </c>
      <c r="E110" s="145"/>
      <c r="F110" s="147"/>
      <c r="K110" s="142">
        <v>42528</v>
      </c>
      <c r="L110" s="142"/>
      <c r="M110" s="137">
        <f>+N110</f>
        <v>42545</v>
      </c>
      <c r="N110" s="137">
        <v>42545</v>
      </c>
      <c r="O110" s="143">
        <f t="shared" si="7"/>
        <v>17</v>
      </c>
      <c r="P110" s="143">
        <f t="shared" si="8"/>
        <v>0</v>
      </c>
      <c r="Q110" s="143">
        <f t="shared" si="9"/>
        <v>17</v>
      </c>
      <c r="R110" s="143">
        <f t="shared" si="10"/>
        <v>-13</v>
      </c>
      <c r="S110" s="246">
        <v>22</v>
      </c>
      <c r="T110" s="144">
        <f t="shared" si="11"/>
        <v>0</v>
      </c>
      <c r="U110" s="144">
        <f t="shared" si="12"/>
        <v>-3119.87</v>
      </c>
      <c r="V110" s="141">
        <f t="shared" si="13"/>
        <v>222</v>
      </c>
    </row>
    <row r="111" spans="1:22" s="139" customFormat="1" ht="12.75">
      <c r="A111" s="242" t="s">
        <v>328</v>
      </c>
      <c r="B111" s="137">
        <v>42520</v>
      </c>
      <c r="C111" s="136" t="s">
        <v>321</v>
      </c>
      <c r="D111" s="138">
        <v>63.89</v>
      </c>
      <c r="E111" s="145"/>
      <c r="F111" s="147"/>
      <c r="K111" s="142">
        <v>42515</v>
      </c>
      <c r="L111" s="142"/>
      <c r="M111" s="137">
        <f>+N111</f>
        <v>42515</v>
      </c>
      <c r="N111" s="137">
        <v>42515</v>
      </c>
      <c r="O111" s="143">
        <f t="shared" si="7"/>
        <v>0</v>
      </c>
      <c r="P111" s="143">
        <f t="shared" si="8"/>
        <v>0</v>
      </c>
      <c r="Q111" s="143">
        <f t="shared" si="9"/>
        <v>0</v>
      </c>
      <c r="R111" s="143">
        <f t="shared" si="10"/>
        <v>-30</v>
      </c>
      <c r="S111" s="246">
        <v>22</v>
      </c>
      <c r="T111" s="144">
        <f t="shared" si="11"/>
        <v>0</v>
      </c>
      <c r="U111" s="144">
        <f t="shared" si="12"/>
        <v>-1916.7</v>
      </c>
      <c r="V111" s="141">
        <f t="shared" si="13"/>
        <v>222</v>
      </c>
    </row>
    <row r="112" spans="1:22" s="139" customFormat="1" ht="12.75">
      <c r="A112" s="242" t="s">
        <v>329</v>
      </c>
      <c r="B112" s="137">
        <v>42521</v>
      </c>
      <c r="C112" s="136" t="s">
        <v>322</v>
      </c>
      <c r="D112" s="138">
        <v>196.26</v>
      </c>
      <c r="E112" s="145"/>
      <c r="F112" s="147"/>
      <c r="K112" s="142">
        <v>42534</v>
      </c>
      <c r="L112" s="142"/>
      <c r="M112" s="137">
        <f>+N112</f>
        <v>42581</v>
      </c>
      <c r="N112" s="137">
        <v>42581</v>
      </c>
      <c r="O112" s="143">
        <f t="shared" si="7"/>
        <v>47</v>
      </c>
      <c r="P112" s="143">
        <f t="shared" si="8"/>
        <v>0</v>
      </c>
      <c r="Q112" s="143">
        <f t="shared" si="9"/>
        <v>47</v>
      </c>
      <c r="R112" s="143">
        <f t="shared" si="10"/>
        <v>17</v>
      </c>
      <c r="S112" s="246">
        <v>29</v>
      </c>
      <c r="T112" s="144">
        <f t="shared" si="11"/>
        <v>0</v>
      </c>
      <c r="U112" s="144">
        <f t="shared" si="12"/>
        <v>3336.42</v>
      </c>
      <c r="V112" s="141">
        <f t="shared" si="13"/>
        <v>229</v>
      </c>
    </row>
    <row r="113" spans="1:22" s="139" customFormat="1" ht="12.75">
      <c r="A113" s="242" t="s">
        <v>331</v>
      </c>
      <c r="B113" s="137">
        <v>42521</v>
      </c>
      <c r="C113" s="136" t="s">
        <v>324</v>
      </c>
      <c r="D113" s="138">
        <v>99.89</v>
      </c>
      <c r="E113" s="145"/>
      <c r="F113" s="147"/>
      <c r="K113" s="142">
        <v>42534</v>
      </c>
      <c r="L113" s="142"/>
      <c r="M113" s="137">
        <f>+N113</f>
        <v>42612</v>
      </c>
      <c r="N113" s="137">
        <v>42612</v>
      </c>
      <c r="O113" s="143">
        <f t="shared" si="7"/>
        <v>78</v>
      </c>
      <c r="P113" s="143">
        <f t="shared" si="8"/>
        <v>0</v>
      </c>
      <c r="Q113" s="143">
        <f t="shared" si="9"/>
        <v>78</v>
      </c>
      <c r="R113" s="143">
        <f t="shared" si="10"/>
        <v>48</v>
      </c>
      <c r="S113" s="246">
        <v>29</v>
      </c>
      <c r="T113" s="144">
        <f t="shared" si="11"/>
        <v>0</v>
      </c>
      <c r="U113" s="144">
        <f t="shared" si="12"/>
        <v>4794.72</v>
      </c>
      <c r="V113" s="141">
        <f t="shared" si="13"/>
        <v>229</v>
      </c>
    </row>
    <row r="114" spans="1:22" s="139" customFormat="1" ht="12.75">
      <c r="A114" s="242" t="s">
        <v>332</v>
      </c>
      <c r="B114" s="137">
        <v>42521</v>
      </c>
      <c r="C114" s="136" t="s">
        <v>325</v>
      </c>
      <c r="D114" s="138">
        <v>29680.68</v>
      </c>
      <c r="E114" s="145"/>
      <c r="F114" s="147"/>
      <c r="K114" s="142">
        <v>42534</v>
      </c>
      <c r="L114" s="142"/>
      <c r="M114" s="137">
        <f>+N114</f>
        <v>42550</v>
      </c>
      <c r="N114" s="137">
        <v>42550</v>
      </c>
      <c r="O114" s="143">
        <f t="shared" si="7"/>
        <v>16</v>
      </c>
      <c r="P114" s="143">
        <f t="shared" si="8"/>
        <v>0</v>
      </c>
      <c r="Q114" s="143">
        <f t="shared" si="9"/>
        <v>16</v>
      </c>
      <c r="R114" s="143">
        <f t="shared" si="10"/>
        <v>-14</v>
      </c>
      <c r="S114" s="246">
        <v>21</v>
      </c>
      <c r="T114" s="144">
        <f t="shared" si="11"/>
        <v>0</v>
      </c>
      <c r="U114" s="144">
        <f t="shared" si="12"/>
        <v>-415529.52</v>
      </c>
      <c r="V114" s="141">
        <f t="shared" si="13"/>
        <v>221</v>
      </c>
    </row>
    <row r="115" spans="1:22" s="139" customFormat="1" ht="12.75">
      <c r="A115" s="242" t="s">
        <v>333</v>
      </c>
      <c r="B115" s="137">
        <v>42521</v>
      </c>
      <c r="C115" s="136" t="s">
        <v>327</v>
      </c>
      <c r="D115" s="138">
        <v>38.5</v>
      </c>
      <c r="E115" s="145"/>
      <c r="F115" s="147"/>
      <c r="K115" s="142">
        <v>42534</v>
      </c>
      <c r="L115" s="142"/>
      <c r="M115" s="137">
        <f>+N115</f>
        <v>42551</v>
      </c>
      <c r="N115" s="137">
        <v>42551</v>
      </c>
      <c r="O115" s="143">
        <f t="shared" si="7"/>
        <v>17</v>
      </c>
      <c r="P115" s="143">
        <f t="shared" si="8"/>
        <v>0</v>
      </c>
      <c r="Q115" s="143">
        <f t="shared" si="9"/>
        <v>17</v>
      </c>
      <c r="R115" s="143">
        <f t="shared" si="10"/>
        <v>-13</v>
      </c>
      <c r="S115" s="246">
        <v>21</v>
      </c>
      <c r="T115" s="144">
        <f t="shared" si="11"/>
        <v>0</v>
      </c>
      <c r="U115" s="144">
        <f t="shared" si="12"/>
        <v>-500.5</v>
      </c>
      <c r="V115" s="141">
        <f t="shared" si="13"/>
        <v>221</v>
      </c>
    </row>
    <row r="116" spans="1:22" s="139" customFormat="1" ht="12.75">
      <c r="A116" s="242" t="s">
        <v>337</v>
      </c>
      <c r="B116" s="137">
        <v>42501</v>
      </c>
      <c r="C116" s="136" t="s">
        <v>330</v>
      </c>
      <c r="D116" s="138">
        <v>27</v>
      </c>
      <c r="E116" s="145"/>
      <c r="F116" s="147"/>
      <c r="K116" s="142">
        <v>42503</v>
      </c>
      <c r="L116" s="142"/>
      <c r="M116" s="137">
        <f>+N116</f>
        <v>42503</v>
      </c>
      <c r="N116" s="137">
        <v>42503</v>
      </c>
      <c r="O116" s="143">
        <f t="shared" si="7"/>
        <v>0</v>
      </c>
      <c r="P116" s="143">
        <f t="shared" si="8"/>
        <v>0</v>
      </c>
      <c r="Q116" s="143">
        <f t="shared" si="9"/>
        <v>0</v>
      </c>
      <c r="R116" s="143">
        <f t="shared" si="10"/>
        <v>-30</v>
      </c>
      <c r="S116" s="246">
        <v>29</v>
      </c>
      <c r="T116" s="144">
        <f t="shared" si="11"/>
        <v>0</v>
      </c>
      <c r="U116" s="144">
        <f t="shared" si="12"/>
        <v>-810</v>
      </c>
      <c r="V116" s="141">
        <f t="shared" si="13"/>
        <v>229</v>
      </c>
    </row>
    <row r="117" spans="1:22" s="139" customFormat="1" ht="12.75">
      <c r="A117" s="242" t="s">
        <v>339</v>
      </c>
      <c r="B117" s="137">
        <v>42475</v>
      </c>
      <c r="C117" s="136" t="s">
        <v>334</v>
      </c>
      <c r="D117" s="138">
        <v>1343.1</v>
      </c>
      <c r="E117" s="145"/>
      <c r="F117" s="147"/>
      <c r="K117" s="142">
        <v>42534</v>
      </c>
      <c r="L117" s="142"/>
      <c r="M117" s="137">
        <f>+N117</f>
        <v>42535</v>
      </c>
      <c r="N117" s="137">
        <v>42535</v>
      </c>
      <c r="O117" s="143">
        <f t="shared" si="7"/>
        <v>1</v>
      </c>
      <c r="P117" s="143">
        <f t="shared" si="8"/>
        <v>0</v>
      </c>
      <c r="Q117" s="143">
        <f t="shared" si="9"/>
        <v>1</v>
      </c>
      <c r="R117" s="143">
        <f t="shared" si="10"/>
        <v>-29</v>
      </c>
      <c r="S117" s="246">
        <v>69</v>
      </c>
      <c r="T117" s="144">
        <f t="shared" si="11"/>
        <v>0</v>
      </c>
      <c r="U117" s="144">
        <f t="shared" si="12"/>
        <v>-38949.899999999994</v>
      </c>
      <c r="V117" s="141">
        <f t="shared" si="13"/>
        <v>269</v>
      </c>
    </row>
    <row r="118" spans="1:22" s="139" customFormat="1" ht="12.75">
      <c r="A118" s="242" t="s">
        <v>340</v>
      </c>
      <c r="B118" s="137">
        <v>42475</v>
      </c>
      <c r="C118" s="136" t="s">
        <v>335</v>
      </c>
      <c r="D118" s="138">
        <v>48.4</v>
      </c>
      <c r="E118" s="145"/>
      <c r="F118" s="147"/>
      <c r="K118" s="142">
        <v>42489</v>
      </c>
      <c r="L118" s="142"/>
      <c r="M118" s="137">
        <f>+N118</f>
        <v>42489</v>
      </c>
      <c r="N118" s="137">
        <v>42489</v>
      </c>
      <c r="O118" s="143">
        <f t="shared" si="7"/>
        <v>0</v>
      </c>
      <c r="P118" s="143">
        <f t="shared" si="8"/>
        <v>0</v>
      </c>
      <c r="Q118" s="143">
        <f t="shared" si="9"/>
        <v>0</v>
      </c>
      <c r="R118" s="143">
        <f t="shared" si="10"/>
        <v>-30</v>
      </c>
      <c r="S118" s="246">
        <v>21</v>
      </c>
      <c r="T118" s="144">
        <f t="shared" si="11"/>
        <v>0</v>
      </c>
      <c r="U118" s="144">
        <f t="shared" si="12"/>
        <v>-1452</v>
      </c>
      <c r="V118" s="141">
        <f t="shared" si="13"/>
        <v>221</v>
      </c>
    </row>
    <row r="119" spans="1:22" s="139" customFormat="1" ht="12.75">
      <c r="A119" s="242" t="s">
        <v>341</v>
      </c>
      <c r="B119" s="137">
        <v>42505</v>
      </c>
      <c r="C119" s="136" t="s">
        <v>336</v>
      </c>
      <c r="D119" s="138">
        <v>48.4</v>
      </c>
      <c r="E119" s="145"/>
      <c r="F119" s="147"/>
      <c r="K119" s="142">
        <v>42516</v>
      </c>
      <c r="L119" s="142"/>
      <c r="M119" s="137">
        <f>+N119</f>
        <v>42516</v>
      </c>
      <c r="N119" s="137">
        <v>42516</v>
      </c>
      <c r="O119" s="143">
        <f t="shared" si="7"/>
        <v>0</v>
      </c>
      <c r="P119" s="143">
        <f t="shared" si="8"/>
        <v>0</v>
      </c>
      <c r="Q119" s="143">
        <f t="shared" si="9"/>
        <v>0</v>
      </c>
      <c r="R119" s="143">
        <f t="shared" si="10"/>
        <v>-30</v>
      </c>
      <c r="S119" s="246">
        <v>69</v>
      </c>
      <c r="T119" s="144">
        <f t="shared" si="11"/>
        <v>0</v>
      </c>
      <c r="U119" s="144">
        <f t="shared" si="12"/>
        <v>-1452</v>
      </c>
      <c r="V119" s="141">
        <f t="shared" si="13"/>
        <v>269</v>
      </c>
    </row>
    <row r="120" spans="1:22" s="141" customFormat="1" ht="12.75">
      <c r="A120" s="242" t="s">
        <v>345</v>
      </c>
      <c r="B120" s="137">
        <v>42479</v>
      </c>
      <c r="C120" s="136" t="s">
        <v>338</v>
      </c>
      <c r="D120" s="138">
        <v>2.99</v>
      </c>
      <c r="E120" s="145"/>
      <c r="F120" s="147"/>
      <c r="K120" s="142">
        <v>42480</v>
      </c>
      <c r="L120" s="151"/>
      <c r="M120" s="137">
        <f>+N120</f>
        <v>42480</v>
      </c>
      <c r="N120" s="137">
        <v>42480</v>
      </c>
      <c r="O120" s="143">
        <f t="shared" si="7"/>
        <v>0</v>
      </c>
      <c r="P120" s="143">
        <f t="shared" si="8"/>
        <v>0</v>
      </c>
      <c r="Q120" s="143">
        <f t="shared" si="9"/>
        <v>0</v>
      </c>
      <c r="R120" s="143">
        <f t="shared" si="10"/>
        <v>-30</v>
      </c>
      <c r="S120" s="246">
        <v>21</v>
      </c>
      <c r="T120" s="144">
        <f t="shared" si="11"/>
        <v>0</v>
      </c>
      <c r="U120" s="144">
        <f t="shared" si="12"/>
        <v>-89.7</v>
      </c>
      <c r="V120" s="141">
        <f t="shared" si="13"/>
        <v>221</v>
      </c>
    </row>
    <row r="121" spans="1:22" s="141" customFormat="1" ht="12.75">
      <c r="A121" s="242" t="s">
        <v>346</v>
      </c>
      <c r="B121" s="137">
        <v>42508</v>
      </c>
      <c r="C121" s="136" t="s">
        <v>342</v>
      </c>
      <c r="D121" s="138">
        <v>157.3</v>
      </c>
      <c r="E121" s="145"/>
      <c r="F121" s="147"/>
      <c r="K121" s="142">
        <v>42507</v>
      </c>
      <c r="L121" s="151"/>
      <c r="M121" s="137">
        <f>+N121</f>
        <v>42507</v>
      </c>
      <c r="N121" s="137">
        <v>42507</v>
      </c>
      <c r="O121" s="143">
        <f t="shared" si="7"/>
        <v>0</v>
      </c>
      <c r="P121" s="143">
        <f t="shared" si="8"/>
        <v>0</v>
      </c>
      <c r="Q121" s="143">
        <f t="shared" si="9"/>
        <v>0</v>
      </c>
      <c r="R121" s="143">
        <f t="shared" si="10"/>
        <v>-30</v>
      </c>
      <c r="S121" s="246">
        <v>20</v>
      </c>
      <c r="T121" s="144">
        <f t="shared" si="11"/>
        <v>0</v>
      </c>
      <c r="U121" s="144">
        <f t="shared" si="12"/>
        <v>-4719</v>
      </c>
      <c r="V121" s="141">
        <f t="shared" si="13"/>
        <v>220</v>
      </c>
    </row>
    <row r="122" spans="1:22" s="141" customFormat="1" ht="12.75">
      <c r="A122" s="242" t="s">
        <v>349</v>
      </c>
      <c r="B122" s="137">
        <v>42521</v>
      </c>
      <c r="C122" s="136" t="s">
        <v>343</v>
      </c>
      <c r="D122" s="138">
        <v>173.03</v>
      </c>
      <c r="E122" s="145"/>
      <c r="F122" s="147"/>
      <c r="K122" s="142">
        <v>42534</v>
      </c>
      <c r="L122" s="151"/>
      <c r="M122" s="137">
        <f>+N122</f>
        <v>42534</v>
      </c>
      <c r="N122" s="137">
        <v>42534</v>
      </c>
      <c r="O122" s="143">
        <f t="shared" si="7"/>
        <v>0</v>
      </c>
      <c r="P122" s="143">
        <f t="shared" si="8"/>
        <v>0</v>
      </c>
      <c r="Q122" s="143">
        <f t="shared" si="9"/>
        <v>0</v>
      </c>
      <c r="R122" s="143">
        <f t="shared" si="10"/>
        <v>-30</v>
      </c>
      <c r="S122" s="246">
        <v>29</v>
      </c>
      <c r="T122" s="144">
        <f t="shared" si="11"/>
        <v>0</v>
      </c>
      <c r="U122" s="144">
        <f t="shared" si="12"/>
        <v>-5190.9</v>
      </c>
      <c r="V122" s="141">
        <f t="shared" si="13"/>
        <v>229</v>
      </c>
    </row>
    <row r="123" spans="1:22" s="139" customFormat="1" ht="12.75">
      <c r="A123" s="242" t="s">
        <v>350</v>
      </c>
      <c r="B123" s="137">
        <v>42495</v>
      </c>
      <c r="C123" s="136" t="s">
        <v>344</v>
      </c>
      <c r="D123" s="138">
        <v>1097.11</v>
      </c>
      <c r="E123" s="145"/>
      <c r="F123" s="147"/>
      <c r="K123" s="142">
        <v>42494</v>
      </c>
      <c r="L123" s="142"/>
      <c r="M123" s="137">
        <f>+N123</f>
        <v>42494</v>
      </c>
      <c r="N123" s="137">
        <v>42494</v>
      </c>
      <c r="O123" s="143">
        <f t="shared" si="7"/>
        <v>0</v>
      </c>
      <c r="P123" s="143">
        <f t="shared" si="8"/>
        <v>0</v>
      </c>
      <c r="Q123" s="143">
        <f t="shared" si="9"/>
        <v>0</v>
      </c>
      <c r="R123" s="143">
        <f t="shared" si="10"/>
        <v>-30</v>
      </c>
      <c r="S123" s="246">
        <v>20</v>
      </c>
      <c r="T123" s="144">
        <f t="shared" si="11"/>
        <v>0</v>
      </c>
      <c r="U123" s="144">
        <f t="shared" si="12"/>
        <v>-32913.299999999996</v>
      </c>
      <c r="V123" s="141">
        <f t="shared" si="13"/>
        <v>220</v>
      </c>
    </row>
    <row r="124" spans="1:22" s="139" customFormat="1" ht="12.75">
      <c r="A124" s="242" t="s">
        <v>351</v>
      </c>
      <c r="B124" s="137">
        <v>42521</v>
      </c>
      <c r="C124" s="136" t="s">
        <v>347</v>
      </c>
      <c r="D124" s="138">
        <v>72.54</v>
      </c>
      <c r="E124" s="145"/>
      <c r="F124" s="147"/>
      <c r="K124" s="142">
        <v>42527</v>
      </c>
      <c r="L124" s="142"/>
      <c r="M124" s="137">
        <f>+N124</f>
        <v>42527</v>
      </c>
      <c r="N124" s="137">
        <v>42527</v>
      </c>
      <c r="O124" s="143">
        <f t="shared" si="7"/>
        <v>0</v>
      </c>
      <c r="P124" s="143">
        <f t="shared" si="8"/>
        <v>0</v>
      </c>
      <c r="Q124" s="143">
        <f t="shared" si="9"/>
        <v>0</v>
      </c>
      <c r="R124" s="143">
        <f t="shared" si="10"/>
        <v>-30</v>
      </c>
      <c r="S124" s="246">
        <v>69</v>
      </c>
      <c r="T124" s="144">
        <f t="shared" si="11"/>
        <v>0</v>
      </c>
      <c r="U124" s="144">
        <f t="shared" si="12"/>
        <v>-2176.2000000000003</v>
      </c>
      <c r="V124" s="141">
        <f t="shared" si="13"/>
        <v>269</v>
      </c>
    </row>
    <row r="125" spans="1:22" s="139" customFormat="1" ht="12.75">
      <c r="A125" s="242" t="s">
        <v>355</v>
      </c>
      <c r="B125" s="137">
        <v>42492</v>
      </c>
      <c r="C125" s="136" t="s">
        <v>348</v>
      </c>
      <c r="D125" s="138">
        <v>217.8</v>
      </c>
      <c r="E125" s="145"/>
      <c r="F125" s="147"/>
      <c r="K125" s="142">
        <v>42495</v>
      </c>
      <c r="L125" s="142"/>
      <c r="M125" s="137">
        <f>+N125</f>
        <v>42495</v>
      </c>
      <c r="N125" s="137">
        <v>42495</v>
      </c>
      <c r="O125" s="143">
        <f t="shared" si="7"/>
        <v>0</v>
      </c>
      <c r="P125" s="143">
        <f t="shared" si="8"/>
        <v>0</v>
      </c>
      <c r="Q125" s="143">
        <f t="shared" si="9"/>
        <v>0</v>
      </c>
      <c r="R125" s="143">
        <f t="shared" si="10"/>
        <v>-30</v>
      </c>
      <c r="S125" s="246">
        <v>20</v>
      </c>
      <c r="T125" s="144">
        <f t="shared" si="11"/>
        <v>0</v>
      </c>
      <c r="U125" s="144">
        <f t="shared" si="12"/>
        <v>-6534</v>
      </c>
      <c r="V125" s="141">
        <f t="shared" si="13"/>
        <v>220</v>
      </c>
    </row>
    <row r="126" spans="1:22" s="139" customFormat="1" ht="12.75">
      <c r="A126" s="242" t="s">
        <v>357</v>
      </c>
      <c r="B126" s="137">
        <v>42522</v>
      </c>
      <c r="C126" s="136" t="s">
        <v>352</v>
      </c>
      <c r="D126" s="138">
        <v>147.88</v>
      </c>
      <c r="E126" s="145"/>
      <c r="F126" s="147"/>
      <c r="K126" s="142">
        <v>42522</v>
      </c>
      <c r="L126" s="142"/>
      <c r="M126" s="137">
        <f>+N126</f>
        <v>42522</v>
      </c>
      <c r="N126" s="137">
        <v>42522</v>
      </c>
      <c r="O126" s="143">
        <f t="shared" si="7"/>
        <v>0</v>
      </c>
      <c r="P126" s="143">
        <f t="shared" si="8"/>
        <v>0</v>
      </c>
      <c r="Q126" s="143">
        <f t="shared" si="9"/>
        <v>0</v>
      </c>
      <c r="R126" s="143">
        <f t="shared" si="10"/>
        <v>-30</v>
      </c>
      <c r="S126" s="246">
        <v>29</v>
      </c>
      <c r="T126" s="144">
        <f t="shared" si="11"/>
        <v>0</v>
      </c>
      <c r="U126" s="144">
        <f t="shared" si="12"/>
        <v>-4436.4</v>
      </c>
      <c r="V126" s="141">
        <f t="shared" si="13"/>
        <v>229</v>
      </c>
    </row>
    <row r="127" spans="1:22" s="139" customFormat="1" ht="12.75">
      <c r="A127" s="242" t="s">
        <v>358</v>
      </c>
      <c r="B127" s="137">
        <v>42522</v>
      </c>
      <c r="C127" s="136" t="s">
        <v>353</v>
      </c>
      <c r="D127" s="138">
        <v>217.8</v>
      </c>
      <c r="E127" s="145"/>
      <c r="F127" s="147"/>
      <c r="K127" s="142">
        <v>42527</v>
      </c>
      <c r="L127" s="142"/>
      <c r="M127" s="137">
        <f>+N127</f>
        <v>42527</v>
      </c>
      <c r="N127" s="137">
        <v>42527</v>
      </c>
      <c r="O127" s="143">
        <f t="shared" si="7"/>
        <v>0</v>
      </c>
      <c r="P127" s="143">
        <f t="shared" si="8"/>
        <v>0</v>
      </c>
      <c r="Q127" s="143">
        <f t="shared" si="9"/>
        <v>0</v>
      </c>
      <c r="R127" s="143">
        <f t="shared" si="10"/>
        <v>-30</v>
      </c>
      <c r="S127" s="246">
        <v>20</v>
      </c>
      <c r="T127" s="144">
        <f t="shared" si="11"/>
        <v>0</v>
      </c>
      <c r="U127" s="144">
        <f t="shared" si="12"/>
        <v>-6534</v>
      </c>
      <c r="V127" s="141">
        <f t="shared" si="13"/>
        <v>220</v>
      </c>
    </row>
    <row r="128" spans="1:22" s="141" customFormat="1" ht="12.75">
      <c r="A128" s="242" t="s">
        <v>359</v>
      </c>
      <c r="B128" s="137">
        <v>42531</v>
      </c>
      <c r="C128" s="136" t="s">
        <v>354</v>
      </c>
      <c r="D128" s="138">
        <v>6731.13</v>
      </c>
      <c r="E128" s="145"/>
      <c r="F128" s="147"/>
      <c r="K128" s="142">
        <v>42534</v>
      </c>
      <c r="L128" s="151"/>
      <c r="M128" s="137">
        <f>+N128</f>
        <v>42535</v>
      </c>
      <c r="N128" s="137">
        <v>42535</v>
      </c>
      <c r="O128" s="143">
        <f t="shared" si="7"/>
        <v>1</v>
      </c>
      <c r="P128" s="143">
        <f t="shared" si="8"/>
        <v>0</v>
      </c>
      <c r="Q128" s="143">
        <f t="shared" si="9"/>
        <v>1</v>
      </c>
      <c r="R128" s="143">
        <f t="shared" si="10"/>
        <v>-29</v>
      </c>
      <c r="S128" s="246">
        <v>29</v>
      </c>
      <c r="T128" s="144">
        <f t="shared" si="11"/>
        <v>0</v>
      </c>
      <c r="U128" s="144">
        <f t="shared" si="12"/>
        <v>-195202.77</v>
      </c>
      <c r="V128" s="141">
        <f t="shared" si="13"/>
        <v>229</v>
      </c>
    </row>
    <row r="129" spans="1:22" s="139" customFormat="1" ht="12.75">
      <c r="A129" s="242" t="s">
        <v>360</v>
      </c>
      <c r="B129" s="137">
        <v>42524</v>
      </c>
      <c r="C129" s="136" t="s">
        <v>356</v>
      </c>
      <c r="D129" s="138">
        <v>72.65</v>
      </c>
      <c r="E129" s="145"/>
      <c r="F129" s="147"/>
      <c r="K129" s="142">
        <v>42529</v>
      </c>
      <c r="L129" s="142"/>
      <c r="M129" s="137">
        <f>+N129</f>
        <v>42529</v>
      </c>
      <c r="N129" s="137">
        <v>42529</v>
      </c>
      <c r="O129" s="143">
        <f t="shared" si="7"/>
        <v>0</v>
      </c>
      <c r="P129" s="143">
        <f t="shared" si="8"/>
        <v>0</v>
      </c>
      <c r="Q129" s="143">
        <f t="shared" si="9"/>
        <v>0</v>
      </c>
      <c r="R129" s="143">
        <f t="shared" si="10"/>
        <v>-30</v>
      </c>
      <c r="S129" s="246">
        <v>29</v>
      </c>
      <c r="T129" s="144">
        <f t="shared" si="11"/>
        <v>0</v>
      </c>
      <c r="U129" s="144">
        <f t="shared" si="12"/>
        <v>-2179.5</v>
      </c>
      <c r="V129" s="141">
        <f t="shared" si="13"/>
        <v>229</v>
      </c>
    </row>
    <row r="130" spans="1:22" s="139" customFormat="1" ht="12.75">
      <c r="A130" s="242" t="s">
        <v>365</v>
      </c>
      <c r="B130" s="137">
        <v>42524</v>
      </c>
      <c r="C130" s="136" t="s">
        <v>361</v>
      </c>
      <c r="D130" s="138">
        <v>243.52</v>
      </c>
      <c r="E130" s="145"/>
      <c r="F130" s="147"/>
      <c r="K130" s="142">
        <v>42529</v>
      </c>
      <c r="L130" s="142"/>
      <c r="M130" s="137">
        <f>+N130</f>
        <v>42529</v>
      </c>
      <c r="N130" s="137">
        <v>42529</v>
      </c>
      <c r="O130" s="143">
        <f t="shared" si="7"/>
        <v>0</v>
      </c>
      <c r="P130" s="143">
        <f t="shared" si="8"/>
        <v>0</v>
      </c>
      <c r="Q130" s="143">
        <f t="shared" si="9"/>
        <v>0</v>
      </c>
      <c r="R130" s="143">
        <f t="shared" si="10"/>
        <v>-30</v>
      </c>
      <c r="S130" s="246">
        <v>29</v>
      </c>
      <c r="T130" s="144">
        <f t="shared" si="11"/>
        <v>0</v>
      </c>
      <c r="U130" s="144">
        <f t="shared" si="12"/>
        <v>-7305.6</v>
      </c>
      <c r="V130" s="141">
        <f t="shared" si="13"/>
        <v>229</v>
      </c>
    </row>
    <row r="131" spans="1:22" s="141" customFormat="1" ht="12.75">
      <c r="A131" s="242" t="s">
        <v>366</v>
      </c>
      <c r="B131" s="137">
        <v>42524</v>
      </c>
      <c r="C131" s="136" t="s">
        <v>362</v>
      </c>
      <c r="D131" s="138">
        <v>1067.83</v>
      </c>
      <c r="E131" s="145"/>
      <c r="F131" s="147"/>
      <c r="K131" s="142">
        <v>42529</v>
      </c>
      <c r="L131" s="151"/>
      <c r="M131" s="137">
        <f>+N131</f>
        <v>42529</v>
      </c>
      <c r="N131" s="137">
        <v>42529</v>
      </c>
      <c r="O131" s="143">
        <f t="shared" si="7"/>
        <v>0</v>
      </c>
      <c r="P131" s="143">
        <f t="shared" si="8"/>
        <v>0</v>
      </c>
      <c r="Q131" s="143">
        <f t="shared" si="9"/>
        <v>0</v>
      </c>
      <c r="R131" s="143">
        <f t="shared" si="10"/>
        <v>-30</v>
      </c>
      <c r="S131" s="246">
        <v>29</v>
      </c>
      <c r="T131" s="144">
        <f t="shared" si="11"/>
        <v>0</v>
      </c>
      <c r="U131" s="144">
        <f t="shared" si="12"/>
        <v>-32034.899999999998</v>
      </c>
      <c r="V131" s="141">
        <f t="shared" si="13"/>
        <v>229</v>
      </c>
    </row>
    <row r="132" spans="1:22" s="141" customFormat="1" ht="12.75">
      <c r="A132" s="242" t="s">
        <v>369</v>
      </c>
      <c r="B132" s="137">
        <v>42524</v>
      </c>
      <c r="C132" s="136" t="s">
        <v>363</v>
      </c>
      <c r="D132" s="138">
        <v>544.55</v>
      </c>
      <c r="E132" s="145"/>
      <c r="F132" s="147"/>
      <c r="K132" s="142">
        <v>42529</v>
      </c>
      <c r="L132" s="151"/>
      <c r="M132" s="137">
        <f>+N132</f>
        <v>42529</v>
      </c>
      <c r="N132" s="137">
        <v>42529</v>
      </c>
      <c r="O132" s="143">
        <f t="shared" si="7"/>
        <v>0</v>
      </c>
      <c r="P132" s="143">
        <f t="shared" si="8"/>
        <v>0</v>
      </c>
      <c r="Q132" s="143">
        <f t="shared" si="9"/>
        <v>0</v>
      </c>
      <c r="R132" s="143">
        <f t="shared" si="10"/>
        <v>-30</v>
      </c>
      <c r="S132" s="246">
        <v>29</v>
      </c>
      <c r="T132" s="144">
        <f t="shared" si="11"/>
        <v>0</v>
      </c>
      <c r="U132" s="144">
        <f t="shared" si="12"/>
        <v>-16336.499999999998</v>
      </c>
      <c r="V132" s="141">
        <f t="shared" si="13"/>
        <v>229</v>
      </c>
    </row>
    <row r="133" spans="1:22" s="141" customFormat="1" ht="12.75">
      <c r="A133" s="242" t="s">
        <v>370</v>
      </c>
      <c r="B133" s="137">
        <v>42527</v>
      </c>
      <c r="C133" s="136" t="s">
        <v>364</v>
      </c>
      <c r="D133" s="138">
        <v>116.16</v>
      </c>
      <c r="E133" s="145"/>
      <c r="F133" s="147"/>
      <c r="K133" s="142">
        <v>42535</v>
      </c>
      <c r="L133" s="151"/>
      <c r="M133" s="137">
        <f>+N133</f>
        <v>42535</v>
      </c>
      <c r="N133" s="137">
        <v>42535</v>
      </c>
      <c r="O133" s="143">
        <f t="shared" si="7"/>
        <v>0</v>
      </c>
      <c r="P133" s="143">
        <f t="shared" si="8"/>
        <v>0</v>
      </c>
      <c r="Q133" s="143">
        <f t="shared" si="9"/>
        <v>0</v>
      </c>
      <c r="R133" s="143">
        <f t="shared" si="10"/>
        <v>-30</v>
      </c>
      <c r="S133" s="246">
        <v>29</v>
      </c>
      <c r="T133" s="144">
        <f t="shared" si="11"/>
        <v>0</v>
      </c>
      <c r="U133" s="144">
        <f t="shared" si="12"/>
        <v>-3484.7999999999997</v>
      </c>
      <c r="V133" s="141">
        <f t="shared" si="13"/>
        <v>229</v>
      </c>
    </row>
    <row r="134" spans="1:22" s="141" customFormat="1" ht="12.75">
      <c r="A134" s="242" t="s">
        <v>371</v>
      </c>
      <c r="B134" s="137">
        <v>42527</v>
      </c>
      <c r="C134" s="136" t="s">
        <v>367</v>
      </c>
      <c r="D134" s="138">
        <v>4153.69</v>
      </c>
      <c r="E134" s="145"/>
      <c r="F134" s="147"/>
      <c r="K134" s="142">
        <v>42535</v>
      </c>
      <c r="L134" s="151"/>
      <c r="M134" s="137">
        <f>+N134</f>
        <v>42535</v>
      </c>
      <c r="N134" s="137">
        <v>42535</v>
      </c>
      <c r="O134" s="143">
        <f t="shared" si="7"/>
        <v>0</v>
      </c>
      <c r="P134" s="143">
        <f t="shared" si="8"/>
        <v>0</v>
      </c>
      <c r="Q134" s="143">
        <f t="shared" si="9"/>
        <v>0</v>
      </c>
      <c r="R134" s="143">
        <f t="shared" si="10"/>
        <v>-30</v>
      </c>
      <c r="S134" s="246">
        <v>29</v>
      </c>
      <c r="T134" s="144">
        <f t="shared" si="11"/>
        <v>0</v>
      </c>
      <c r="U134" s="144">
        <f t="shared" si="12"/>
        <v>-124610.69999999998</v>
      </c>
      <c r="V134" s="141">
        <f t="shared" si="13"/>
        <v>229</v>
      </c>
    </row>
    <row r="135" spans="1:22" s="141" customFormat="1" ht="12.75">
      <c r="A135" s="242" t="s">
        <v>372</v>
      </c>
      <c r="B135" s="137">
        <v>42527</v>
      </c>
      <c r="C135" s="136" t="s">
        <v>368</v>
      </c>
      <c r="D135" s="138">
        <v>617.1</v>
      </c>
      <c r="E135" s="145"/>
      <c r="F135" s="147"/>
      <c r="K135" s="142">
        <v>42535</v>
      </c>
      <c r="L135" s="151"/>
      <c r="M135" s="137">
        <f>+N135</f>
        <v>42535</v>
      </c>
      <c r="N135" s="137">
        <v>42535</v>
      </c>
      <c r="O135" s="143">
        <f aca="true" t="shared" si="14" ref="O135:O187">+M135-K135</f>
        <v>0</v>
      </c>
      <c r="P135" s="143">
        <f aca="true" t="shared" si="15" ref="P135:P187">+N135-M135</f>
        <v>0</v>
      </c>
      <c r="Q135" s="143">
        <f aca="true" t="shared" si="16" ref="Q135:Q187">+N135-K135</f>
        <v>0</v>
      </c>
      <c r="R135" s="143">
        <f aca="true" t="shared" si="17" ref="R135:R188">+Q135-30</f>
        <v>-30</v>
      </c>
      <c r="S135" s="246">
        <v>29</v>
      </c>
      <c r="T135" s="144">
        <f aca="true" t="shared" si="18" ref="T135:T187">+P135*D135</f>
        <v>0</v>
      </c>
      <c r="U135" s="144">
        <f aca="true" t="shared" si="19" ref="U135:U187">+R135*D135</f>
        <v>-18513</v>
      </c>
      <c r="V135" s="141">
        <f aca="true" t="shared" si="20" ref="V135:V187">IF(P135&lt;30,200+S135,100+S135)</f>
        <v>229</v>
      </c>
    </row>
    <row r="136" spans="1:22" s="141" customFormat="1" ht="12.75">
      <c r="A136" s="242" t="s">
        <v>376</v>
      </c>
      <c r="B136" s="137">
        <v>42521</v>
      </c>
      <c r="C136" s="136" t="s">
        <v>373</v>
      </c>
      <c r="D136" s="138">
        <v>267.41</v>
      </c>
      <c r="E136" s="145"/>
      <c r="F136" s="147"/>
      <c r="K136" s="142">
        <v>42535</v>
      </c>
      <c r="L136" s="151"/>
      <c r="M136" s="137">
        <f>+N136</f>
        <v>42535</v>
      </c>
      <c r="N136" s="137">
        <v>42535</v>
      </c>
      <c r="O136" s="143">
        <f t="shared" si="14"/>
        <v>0</v>
      </c>
      <c r="P136" s="143">
        <f t="shared" si="15"/>
        <v>0</v>
      </c>
      <c r="Q136" s="143">
        <f t="shared" si="16"/>
        <v>0</v>
      </c>
      <c r="R136" s="143">
        <f t="shared" si="17"/>
        <v>-30</v>
      </c>
      <c r="S136" s="246">
        <v>21</v>
      </c>
      <c r="T136" s="144">
        <f t="shared" si="18"/>
        <v>0</v>
      </c>
      <c r="U136" s="144">
        <f t="shared" si="19"/>
        <v>-8022.300000000001</v>
      </c>
      <c r="V136" s="141">
        <f t="shared" si="20"/>
        <v>221</v>
      </c>
    </row>
    <row r="137" spans="1:22" s="141" customFormat="1" ht="12.75">
      <c r="A137" s="242" t="s">
        <v>377</v>
      </c>
      <c r="B137" s="137">
        <v>42490</v>
      </c>
      <c r="C137" s="136" t="s">
        <v>374</v>
      </c>
      <c r="D137" s="138">
        <v>450</v>
      </c>
      <c r="E137" s="145"/>
      <c r="F137" s="147"/>
      <c r="K137" s="142">
        <v>42535</v>
      </c>
      <c r="L137" s="151"/>
      <c r="M137" s="137">
        <f>+N137</f>
        <v>42535</v>
      </c>
      <c r="N137" s="137">
        <v>42535</v>
      </c>
      <c r="O137" s="143">
        <f t="shared" si="14"/>
        <v>0</v>
      </c>
      <c r="P137" s="143">
        <f t="shared" si="15"/>
        <v>0</v>
      </c>
      <c r="Q137" s="143">
        <f t="shared" si="16"/>
        <v>0</v>
      </c>
      <c r="R137" s="143">
        <f t="shared" si="17"/>
        <v>-30</v>
      </c>
      <c r="S137" s="246">
        <v>21</v>
      </c>
      <c r="T137" s="144">
        <f t="shared" si="18"/>
        <v>0</v>
      </c>
      <c r="U137" s="144">
        <f t="shared" si="19"/>
        <v>-13500</v>
      </c>
      <c r="V137" s="141">
        <f t="shared" si="20"/>
        <v>221</v>
      </c>
    </row>
    <row r="138" spans="1:22" s="139" customFormat="1" ht="12.75">
      <c r="A138" s="242" t="s">
        <v>380</v>
      </c>
      <c r="B138" s="137">
        <v>42523</v>
      </c>
      <c r="C138" s="136" t="s">
        <v>375</v>
      </c>
      <c r="D138" s="138">
        <v>432.16</v>
      </c>
      <c r="E138" s="145"/>
      <c r="F138" s="147"/>
      <c r="K138" s="142">
        <v>42535</v>
      </c>
      <c r="L138" s="142"/>
      <c r="M138" s="137">
        <f>+N138</f>
        <v>42535</v>
      </c>
      <c r="N138" s="137">
        <v>42535</v>
      </c>
      <c r="O138" s="143">
        <f t="shared" si="14"/>
        <v>0</v>
      </c>
      <c r="P138" s="143">
        <f t="shared" si="15"/>
        <v>0</v>
      </c>
      <c r="Q138" s="143">
        <f t="shared" si="16"/>
        <v>0</v>
      </c>
      <c r="R138" s="143">
        <f t="shared" si="17"/>
        <v>-30</v>
      </c>
      <c r="S138" s="246">
        <v>29</v>
      </c>
      <c r="T138" s="144">
        <f t="shared" si="18"/>
        <v>0</v>
      </c>
      <c r="U138" s="144">
        <f t="shared" si="19"/>
        <v>-12964.800000000001</v>
      </c>
      <c r="V138" s="141">
        <f t="shared" si="20"/>
        <v>229</v>
      </c>
    </row>
    <row r="139" spans="1:22" s="139" customFormat="1" ht="12.75">
      <c r="A139" s="242" t="s">
        <v>381</v>
      </c>
      <c r="B139" s="137">
        <v>42521</v>
      </c>
      <c r="C139" s="136" t="s">
        <v>378</v>
      </c>
      <c r="D139" s="138">
        <v>106.92</v>
      </c>
      <c r="E139" s="145"/>
      <c r="F139" s="147"/>
      <c r="K139" s="142">
        <v>42536</v>
      </c>
      <c r="L139" s="142"/>
      <c r="M139" s="137">
        <f>+N139</f>
        <v>42612</v>
      </c>
      <c r="N139" s="137">
        <v>42612</v>
      </c>
      <c r="O139" s="143">
        <f t="shared" si="14"/>
        <v>76</v>
      </c>
      <c r="P139" s="143">
        <f t="shared" si="15"/>
        <v>0</v>
      </c>
      <c r="Q139" s="143">
        <f t="shared" si="16"/>
        <v>76</v>
      </c>
      <c r="R139" s="143">
        <f t="shared" si="17"/>
        <v>46</v>
      </c>
      <c r="S139" s="246">
        <v>29</v>
      </c>
      <c r="T139" s="144">
        <f t="shared" si="18"/>
        <v>0</v>
      </c>
      <c r="U139" s="144">
        <f t="shared" si="19"/>
        <v>4918.32</v>
      </c>
      <c r="V139" s="141">
        <f t="shared" si="20"/>
        <v>229</v>
      </c>
    </row>
    <row r="140" spans="1:22" s="139" customFormat="1" ht="12.75">
      <c r="A140" s="242" t="s">
        <v>382</v>
      </c>
      <c r="B140" s="137">
        <v>42521</v>
      </c>
      <c r="C140" s="136" t="s">
        <v>379</v>
      </c>
      <c r="D140" s="138">
        <v>68.49</v>
      </c>
      <c r="E140" s="145"/>
      <c r="F140" s="147"/>
      <c r="K140" s="142">
        <v>42536</v>
      </c>
      <c r="L140" s="142"/>
      <c r="M140" s="137">
        <f>+N140</f>
        <v>42612</v>
      </c>
      <c r="N140" s="137">
        <v>42612</v>
      </c>
      <c r="O140" s="143">
        <f t="shared" si="14"/>
        <v>76</v>
      </c>
      <c r="P140" s="143">
        <f t="shared" si="15"/>
        <v>0</v>
      </c>
      <c r="Q140" s="143">
        <f t="shared" si="16"/>
        <v>76</v>
      </c>
      <c r="R140" s="143">
        <f t="shared" si="17"/>
        <v>46</v>
      </c>
      <c r="S140" s="246">
        <v>29</v>
      </c>
      <c r="T140" s="144">
        <f t="shared" si="18"/>
        <v>0</v>
      </c>
      <c r="U140" s="144">
        <f t="shared" si="19"/>
        <v>3150.54</v>
      </c>
      <c r="V140" s="141">
        <f t="shared" si="20"/>
        <v>229</v>
      </c>
    </row>
    <row r="141" spans="1:22" s="139" customFormat="1" ht="12.75">
      <c r="A141" s="242" t="s">
        <v>386</v>
      </c>
      <c r="B141" s="137">
        <v>42522</v>
      </c>
      <c r="C141" s="136" t="s">
        <v>383</v>
      </c>
      <c r="D141" s="138">
        <v>54.68</v>
      </c>
      <c r="E141" s="145"/>
      <c r="F141" s="147"/>
      <c r="K141" s="142">
        <v>42522</v>
      </c>
      <c r="L141" s="142"/>
      <c r="M141" s="137">
        <f>+N141</f>
        <v>42522</v>
      </c>
      <c r="N141" s="137">
        <v>42522</v>
      </c>
      <c r="O141" s="143">
        <f t="shared" si="14"/>
        <v>0</v>
      </c>
      <c r="P141" s="143">
        <f t="shared" si="15"/>
        <v>0</v>
      </c>
      <c r="Q141" s="143">
        <f t="shared" si="16"/>
        <v>0</v>
      </c>
      <c r="R141" s="143">
        <f t="shared" si="17"/>
        <v>-30</v>
      </c>
      <c r="S141" s="246">
        <v>29</v>
      </c>
      <c r="T141" s="144">
        <f t="shared" si="18"/>
        <v>0</v>
      </c>
      <c r="U141" s="144">
        <f t="shared" si="19"/>
        <v>-1640.4</v>
      </c>
      <c r="V141" s="141">
        <f t="shared" si="20"/>
        <v>229</v>
      </c>
    </row>
    <row r="142" spans="1:22" s="139" customFormat="1" ht="12.75">
      <c r="A142" s="242" t="s">
        <v>387</v>
      </c>
      <c r="B142" s="137">
        <v>42493</v>
      </c>
      <c r="C142" s="136" t="s">
        <v>384</v>
      </c>
      <c r="D142" s="138">
        <v>961.12</v>
      </c>
      <c r="E142" s="145"/>
      <c r="F142" s="147"/>
      <c r="K142" s="142">
        <v>42496</v>
      </c>
      <c r="L142" s="142"/>
      <c r="M142" s="137">
        <f>+N142</f>
        <v>42496</v>
      </c>
      <c r="N142" s="137">
        <v>42496</v>
      </c>
      <c r="O142" s="143">
        <f t="shared" si="14"/>
        <v>0</v>
      </c>
      <c r="P142" s="143">
        <f t="shared" si="15"/>
        <v>0</v>
      </c>
      <c r="Q142" s="143">
        <f t="shared" si="16"/>
        <v>0</v>
      </c>
      <c r="R142" s="143">
        <f t="shared" si="17"/>
        <v>-30</v>
      </c>
      <c r="S142" s="141">
        <v>29</v>
      </c>
      <c r="T142" s="144">
        <f t="shared" si="18"/>
        <v>0</v>
      </c>
      <c r="U142" s="144">
        <f t="shared" si="19"/>
        <v>-28833.6</v>
      </c>
      <c r="V142" s="141">
        <f t="shared" si="20"/>
        <v>229</v>
      </c>
    </row>
    <row r="143" spans="1:22" s="139" customFormat="1" ht="12.75">
      <c r="A143" s="242" t="s">
        <v>390</v>
      </c>
      <c r="B143" s="137">
        <v>42493</v>
      </c>
      <c r="C143" s="136" t="s">
        <v>385</v>
      </c>
      <c r="D143" s="138">
        <v>533.51</v>
      </c>
      <c r="E143" s="145"/>
      <c r="F143" s="147"/>
      <c r="K143" s="142">
        <v>42496</v>
      </c>
      <c r="L143" s="142"/>
      <c r="M143" s="137">
        <f>+N143</f>
        <v>42496</v>
      </c>
      <c r="N143" s="137">
        <v>42496</v>
      </c>
      <c r="O143" s="143">
        <f t="shared" si="14"/>
        <v>0</v>
      </c>
      <c r="P143" s="143">
        <f t="shared" si="15"/>
        <v>0</v>
      </c>
      <c r="Q143" s="143">
        <f t="shared" si="16"/>
        <v>0</v>
      </c>
      <c r="R143" s="143">
        <f t="shared" si="17"/>
        <v>-30</v>
      </c>
      <c r="S143" s="141">
        <v>29</v>
      </c>
      <c r="T143" s="144">
        <f t="shared" si="18"/>
        <v>0</v>
      </c>
      <c r="U143" s="144">
        <f t="shared" si="19"/>
        <v>-16005.3</v>
      </c>
      <c r="V143" s="141">
        <f t="shared" si="20"/>
        <v>229</v>
      </c>
    </row>
    <row r="144" spans="1:22" s="139" customFormat="1" ht="12.75">
      <c r="A144" s="242" t="s">
        <v>392</v>
      </c>
      <c r="B144" s="137">
        <v>42524</v>
      </c>
      <c r="C144" s="136" t="s">
        <v>388</v>
      </c>
      <c r="D144" s="138">
        <v>75.07</v>
      </c>
      <c r="E144" s="145"/>
      <c r="F144" s="147"/>
      <c r="K144" s="142">
        <v>42496</v>
      </c>
      <c r="L144" s="142"/>
      <c r="M144" s="137">
        <f>+N144</f>
        <v>42496</v>
      </c>
      <c r="N144" s="137">
        <v>42496</v>
      </c>
      <c r="O144" s="143">
        <f t="shared" si="14"/>
        <v>0</v>
      </c>
      <c r="P144" s="143">
        <f t="shared" si="15"/>
        <v>0</v>
      </c>
      <c r="Q144" s="143">
        <f t="shared" si="16"/>
        <v>0</v>
      </c>
      <c r="R144" s="143">
        <f t="shared" si="17"/>
        <v>-30</v>
      </c>
      <c r="S144" s="141">
        <v>29</v>
      </c>
      <c r="T144" s="144">
        <f t="shared" si="18"/>
        <v>0</v>
      </c>
      <c r="U144" s="144">
        <f t="shared" si="19"/>
        <v>-2252.1</v>
      </c>
      <c r="V144" s="141">
        <f t="shared" si="20"/>
        <v>229</v>
      </c>
    </row>
    <row r="145" spans="1:22" s="139" customFormat="1" ht="12.75">
      <c r="A145" s="242" t="s">
        <v>393</v>
      </c>
      <c r="B145" s="137">
        <v>42493</v>
      </c>
      <c r="C145" s="136" t="s">
        <v>389</v>
      </c>
      <c r="D145" s="138">
        <v>72.65</v>
      </c>
      <c r="E145" s="145"/>
      <c r="F145" s="147"/>
      <c r="K145" s="142">
        <v>42496</v>
      </c>
      <c r="L145" s="142"/>
      <c r="M145" s="137">
        <f>+N145</f>
        <v>42496</v>
      </c>
      <c r="N145" s="137">
        <v>42496</v>
      </c>
      <c r="O145" s="143">
        <f t="shared" si="14"/>
        <v>0</v>
      </c>
      <c r="P145" s="143">
        <f t="shared" si="15"/>
        <v>0</v>
      </c>
      <c r="Q145" s="143">
        <f t="shared" si="16"/>
        <v>0</v>
      </c>
      <c r="R145" s="143">
        <f t="shared" si="17"/>
        <v>-30</v>
      </c>
      <c r="S145" s="246">
        <v>29</v>
      </c>
      <c r="T145" s="144">
        <f t="shared" si="18"/>
        <v>0</v>
      </c>
      <c r="U145" s="144">
        <f t="shared" si="19"/>
        <v>-2179.5</v>
      </c>
      <c r="V145" s="141">
        <f t="shared" si="20"/>
        <v>229</v>
      </c>
    </row>
    <row r="146" spans="1:22" s="139" customFormat="1" ht="12.75">
      <c r="A146" s="242" t="s">
        <v>396</v>
      </c>
      <c r="B146" s="137">
        <v>42493</v>
      </c>
      <c r="C146" s="136" t="s">
        <v>391</v>
      </c>
      <c r="D146" s="138">
        <v>207.45</v>
      </c>
      <c r="E146" s="145"/>
      <c r="F146" s="147"/>
      <c r="K146" s="142">
        <v>42496</v>
      </c>
      <c r="L146" s="142"/>
      <c r="M146" s="137">
        <f>+N146</f>
        <v>42496</v>
      </c>
      <c r="N146" s="137">
        <v>42496</v>
      </c>
      <c r="O146" s="143">
        <f t="shared" si="14"/>
        <v>0</v>
      </c>
      <c r="P146" s="143">
        <f t="shared" si="15"/>
        <v>0</v>
      </c>
      <c r="Q146" s="143">
        <f t="shared" si="16"/>
        <v>0</v>
      </c>
      <c r="R146" s="143">
        <f t="shared" si="17"/>
        <v>-30</v>
      </c>
      <c r="S146" s="246">
        <v>29</v>
      </c>
      <c r="T146" s="144">
        <f t="shared" si="18"/>
        <v>0</v>
      </c>
      <c r="U146" s="144">
        <f t="shared" si="19"/>
        <v>-6223.5</v>
      </c>
      <c r="V146" s="141">
        <f t="shared" si="20"/>
        <v>229</v>
      </c>
    </row>
    <row r="147" spans="1:22" s="139" customFormat="1" ht="12.75">
      <c r="A147" s="242" t="s">
        <v>397</v>
      </c>
      <c r="B147" s="137">
        <v>42493</v>
      </c>
      <c r="C147" s="136" t="s">
        <v>394</v>
      </c>
      <c r="D147" s="138">
        <v>75.07</v>
      </c>
      <c r="E147" s="145"/>
      <c r="F147" s="147"/>
      <c r="K147" s="142">
        <v>42496</v>
      </c>
      <c r="L147" s="142"/>
      <c r="M147" s="137">
        <f>+N147</f>
        <v>42496</v>
      </c>
      <c r="N147" s="137">
        <v>42496</v>
      </c>
      <c r="O147" s="143">
        <f t="shared" si="14"/>
        <v>0</v>
      </c>
      <c r="P147" s="143">
        <f t="shared" si="15"/>
        <v>0</v>
      </c>
      <c r="Q147" s="143">
        <f t="shared" si="16"/>
        <v>0</v>
      </c>
      <c r="R147" s="143">
        <f t="shared" si="17"/>
        <v>-30</v>
      </c>
      <c r="S147" s="246">
        <v>29</v>
      </c>
      <c r="T147" s="144">
        <f t="shared" si="18"/>
        <v>0</v>
      </c>
      <c r="U147" s="144">
        <f t="shared" si="19"/>
        <v>-2252.1</v>
      </c>
      <c r="V147" s="141">
        <f t="shared" si="20"/>
        <v>229</v>
      </c>
    </row>
    <row r="148" spans="1:22" s="139" customFormat="1" ht="12.75">
      <c r="A148" s="242" t="s">
        <v>400</v>
      </c>
      <c r="B148" s="137">
        <v>42521</v>
      </c>
      <c r="C148" s="136" t="s">
        <v>395</v>
      </c>
      <c r="D148" s="138">
        <v>1089</v>
      </c>
      <c r="E148" s="145"/>
      <c r="F148" s="147"/>
      <c r="K148" s="142">
        <v>42536</v>
      </c>
      <c r="L148" s="142"/>
      <c r="M148" s="137">
        <f>+N148</f>
        <v>42536</v>
      </c>
      <c r="N148" s="137">
        <v>42536</v>
      </c>
      <c r="O148" s="143">
        <f t="shared" si="14"/>
        <v>0</v>
      </c>
      <c r="P148" s="143">
        <f t="shared" si="15"/>
        <v>0</v>
      </c>
      <c r="Q148" s="143">
        <f t="shared" si="16"/>
        <v>0</v>
      </c>
      <c r="R148" s="143">
        <f t="shared" si="17"/>
        <v>-30</v>
      </c>
      <c r="S148" s="246">
        <v>22</v>
      </c>
      <c r="T148" s="144">
        <f t="shared" si="18"/>
        <v>0</v>
      </c>
      <c r="U148" s="144">
        <f t="shared" si="19"/>
        <v>-32670</v>
      </c>
      <c r="V148" s="141">
        <f t="shared" si="20"/>
        <v>222</v>
      </c>
    </row>
    <row r="149" spans="1:22" s="141" customFormat="1" ht="12.75">
      <c r="A149" s="242" t="s">
        <v>401</v>
      </c>
      <c r="B149" s="137">
        <v>42520</v>
      </c>
      <c r="C149" s="136" t="s">
        <v>398</v>
      </c>
      <c r="D149" s="138">
        <v>19.46</v>
      </c>
      <c r="E149" s="145"/>
      <c r="F149" s="147"/>
      <c r="K149" s="142">
        <v>42528</v>
      </c>
      <c r="L149" s="151"/>
      <c r="M149" s="137">
        <f>+N149</f>
        <v>42528</v>
      </c>
      <c r="N149" s="137">
        <v>42528</v>
      </c>
      <c r="O149" s="143">
        <f t="shared" si="14"/>
        <v>0</v>
      </c>
      <c r="P149" s="143">
        <f t="shared" si="15"/>
        <v>0</v>
      </c>
      <c r="Q149" s="143">
        <f t="shared" si="16"/>
        <v>0</v>
      </c>
      <c r="R149" s="143">
        <f t="shared" si="17"/>
        <v>-30</v>
      </c>
      <c r="S149" s="246">
        <v>29</v>
      </c>
      <c r="T149" s="144">
        <f t="shared" si="18"/>
        <v>0</v>
      </c>
      <c r="U149" s="144">
        <f t="shared" si="19"/>
        <v>-583.8000000000001</v>
      </c>
      <c r="V149" s="141">
        <f t="shared" si="20"/>
        <v>229</v>
      </c>
    </row>
    <row r="150" spans="1:22" s="141" customFormat="1" ht="12.75">
      <c r="A150" s="242" t="s">
        <v>403</v>
      </c>
      <c r="B150" s="137">
        <v>42530</v>
      </c>
      <c r="C150" s="136" t="s">
        <v>399</v>
      </c>
      <c r="D150" s="138">
        <v>76.96</v>
      </c>
      <c r="E150" s="145"/>
      <c r="F150" s="147"/>
      <c r="K150" s="142">
        <v>42549</v>
      </c>
      <c r="L150" s="151"/>
      <c r="M150" s="137">
        <f>+N150</f>
        <v>42550</v>
      </c>
      <c r="N150" s="137">
        <v>42550</v>
      </c>
      <c r="O150" s="143">
        <f t="shared" si="14"/>
        <v>1</v>
      </c>
      <c r="P150" s="143">
        <f t="shared" si="15"/>
        <v>0</v>
      </c>
      <c r="Q150" s="143">
        <f t="shared" si="16"/>
        <v>1</v>
      </c>
      <c r="R150" s="143">
        <f t="shared" si="17"/>
        <v>-29</v>
      </c>
      <c r="S150" s="246">
        <v>21</v>
      </c>
      <c r="T150" s="144">
        <f t="shared" si="18"/>
        <v>0</v>
      </c>
      <c r="U150" s="144">
        <f t="shared" si="19"/>
        <v>-2231.8399999999997</v>
      </c>
      <c r="V150" s="141">
        <f t="shared" si="20"/>
        <v>221</v>
      </c>
    </row>
    <row r="151" spans="1:22" s="139" customFormat="1" ht="12.75">
      <c r="A151" s="242" t="s">
        <v>404</v>
      </c>
      <c r="B151" s="137">
        <v>42474</v>
      </c>
      <c r="C151" s="136" t="s">
        <v>402</v>
      </c>
      <c r="D151" s="138">
        <v>143.75</v>
      </c>
      <c r="E151" s="145"/>
      <c r="F151" s="147"/>
      <c r="K151" s="142">
        <v>42549</v>
      </c>
      <c r="L151" s="142"/>
      <c r="M151" s="137">
        <f>+N151</f>
        <v>42550</v>
      </c>
      <c r="N151" s="137">
        <v>42550</v>
      </c>
      <c r="O151" s="143">
        <f t="shared" si="14"/>
        <v>1</v>
      </c>
      <c r="P151" s="143">
        <f t="shared" si="15"/>
        <v>0</v>
      </c>
      <c r="Q151" s="143">
        <f t="shared" si="16"/>
        <v>1</v>
      </c>
      <c r="R151" s="143">
        <f t="shared" si="17"/>
        <v>-29</v>
      </c>
      <c r="S151" s="246">
        <v>22</v>
      </c>
      <c r="T151" s="144">
        <f t="shared" si="18"/>
        <v>0</v>
      </c>
      <c r="U151" s="144">
        <f t="shared" si="19"/>
        <v>-4168.75</v>
      </c>
      <c r="V151" s="141">
        <f t="shared" si="20"/>
        <v>222</v>
      </c>
    </row>
    <row r="152" spans="1:22" s="139" customFormat="1" ht="12.75">
      <c r="A152" s="242" t="s">
        <v>405</v>
      </c>
      <c r="B152" s="137">
        <v>42474</v>
      </c>
      <c r="C152" s="136" t="s">
        <v>407</v>
      </c>
      <c r="D152" s="138">
        <v>43.51</v>
      </c>
      <c r="E152" s="145"/>
      <c r="F152" s="147"/>
      <c r="K152" s="142">
        <v>42549</v>
      </c>
      <c r="L152" s="142"/>
      <c r="M152" s="137">
        <f>+N152</f>
        <v>42550</v>
      </c>
      <c r="N152" s="137">
        <v>42550</v>
      </c>
      <c r="O152" s="143">
        <f t="shared" si="14"/>
        <v>1</v>
      </c>
      <c r="P152" s="143">
        <f t="shared" si="15"/>
        <v>0</v>
      </c>
      <c r="Q152" s="143">
        <f t="shared" si="16"/>
        <v>1</v>
      </c>
      <c r="R152" s="143">
        <f t="shared" si="17"/>
        <v>-29</v>
      </c>
      <c r="S152" s="246">
        <v>29</v>
      </c>
      <c r="T152" s="144">
        <f t="shared" si="18"/>
        <v>0</v>
      </c>
      <c r="U152" s="144">
        <f t="shared" si="19"/>
        <v>-1261.79</v>
      </c>
      <c r="V152" s="141">
        <f t="shared" si="20"/>
        <v>229</v>
      </c>
    </row>
    <row r="153" spans="1:22" s="139" customFormat="1" ht="12.75">
      <c r="A153" s="242" t="s">
        <v>406</v>
      </c>
      <c r="B153" s="137">
        <v>42509</v>
      </c>
      <c r="C153" s="136" t="s">
        <v>408</v>
      </c>
      <c r="D153" s="138">
        <v>700.63</v>
      </c>
      <c r="E153" s="145"/>
      <c r="F153" s="147"/>
      <c r="K153" s="142">
        <v>42549</v>
      </c>
      <c r="L153" s="142"/>
      <c r="M153" s="137">
        <f>+N153</f>
        <v>42550</v>
      </c>
      <c r="N153" s="137">
        <v>42550</v>
      </c>
      <c r="O153" s="143">
        <f t="shared" si="14"/>
        <v>1</v>
      </c>
      <c r="P153" s="143">
        <f t="shared" si="15"/>
        <v>0</v>
      </c>
      <c r="Q153" s="143">
        <f t="shared" si="16"/>
        <v>1</v>
      </c>
      <c r="R153" s="143">
        <f t="shared" si="17"/>
        <v>-29</v>
      </c>
      <c r="S153" s="246">
        <v>29</v>
      </c>
      <c r="T153" s="144">
        <f t="shared" si="18"/>
        <v>0</v>
      </c>
      <c r="U153" s="144">
        <f t="shared" si="19"/>
        <v>-20318.27</v>
      </c>
      <c r="V153" s="141">
        <f t="shared" si="20"/>
        <v>229</v>
      </c>
    </row>
    <row r="154" spans="1:22" s="139" customFormat="1" ht="12.75">
      <c r="A154" s="242" t="s">
        <v>411</v>
      </c>
      <c r="B154" s="137">
        <v>42521</v>
      </c>
      <c r="C154" s="136" t="s">
        <v>409</v>
      </c>
      <c r="D154" s="138">
        <v>255.1</v>
      </c>
      <c r="E154" s="145"/>
      <c r="F154" s="147"/>
      <c r="K154" s="142">
        <v>42549</v>
      </c>
      <c r="L154" s="142"/>
      <c r="M154" s="137">
        <f>+N154</f>
        <v>42550</v>
      </c>
      <c r="N154" s="137">
        <v>42550</v>
      </c>
      <c r="O154" s="143">
        <f t="shared" si="14"/>
        <v>1</v>
      </c>
      <c r="P154" s="143">
        <f t="shared" si="15"/>
        <v>0</v>
      </c>
      <c r="Q154" s="143">
        <f t="shared" si="16"/>
        <v>1</v>
      </c>
      <c r="R154" s="143">
        <f t="shared" si="17"/>
        <v>-29</v>
      </c>
      <c r="S154" s="246">
        <v>22</v>
      </c>
      <c r="T154" s="144">
        <f t="shared" si="18"/>
        <v>0</v>
      </c>
      <c r="U154" s="144">
        <f t="shared" si="19"/>
        <v>-7397.9</v>
      </c>
      <c r="V154" s="141">
        <f t="shared" si="20"/>
        <v>222</v>
      </c>
    </row>
    <row r="155" spans="1:22" s="139" customFormat="1" ht="12.75">
      <c r="A155" s="242" t="s">
        <v>412</v>
      </c>
      <c r="B155" s="137">
        <v>42521</v>
      </c>
      <c r="C155" s="136" t="s">
        <v>410</v>
      </c>
      <c r="D155" s="138">
        <v>162.25</v>
      </c>
      <c r="E155" s="145"/>
      <c r="F155" s="147"/>
      <c r="K155" s="142">
        <v>42529</v>
      </c>
      <c r="L155" s="142"/>
      <c r="M155" s="137">
        <f>+N155</f>
        <v>42529</v>
      </c>
      <c r="N155" s="137">
        <v>42529</v>
      </c>
      <c r="O155" s="143">
        <f t="shared" si="14"/>
        <v>0</v>
      </c>
      <c r="P155" s="143">
        <f t="shared" si="15"/>
        <v>0</v>
      </c>
      <c r="Q155" s="143">
        <f t="shared" si="16"/>
        <v>0</v>
      </c>
      <c r="R155" s="143">
        <f t="shared" si="17"/>
        <v>-30</v>
      </c>
      <c r="S155" s="246">
        <v>29</v>
      </c>
      <c r="T155" s="144">
        <f t="shared" si="18"/>
        <v>0</v>
      </c>
      <c r="U155" s="144">
        <f t="shared" si="19"/>
        <v>-4867.5</v>
      </c>
      <c r="V155" s="141">
        <f t="shared" si="20"/>
        <v>229</v>
      </c>
    </row>
    <row r="156" spans="1:22" s="139" customFormat="1" ht="12.75">
      <c r="A156" s="242" t="s">
        <v>413</v>
      </c>
      <c r="B156" s="137">
        <v>42521</v>
      </c>
      <c r="C156" s="136" t="s">
        <v>414</v>
      </c>
      <c r="D156" s="138">
        <v>200.48</v>
      </c>
      <c r="E156" s="145"/>
      <c r="F156" s="147"/>
      <c r="K156" s="142">
        <v>42549</v>
      </c>
      <c r="L156" s="142"/>
      <c r="M156" s="137">
        <f>+N156</f>
        <v>42551</v>
      </c>
      <c r="N156" s="137">
        <v>42551</v>
      </c>
      <c r="O156" s="143">
        <f t="shared" si="14"/>
        <v>2</v>
      </c>
      <c r="P156" s="143">
        <f t="shared" si="15"/>
        <v>0</v>
      </c>
      <c r="Q156" s="143">
        <f t="shared" si="16"/>
        <v>2</v>
      </c>
      <c r="R156" s="143">
        <f t="shared" si="17"/>
        <v>-28</v>
      </c>
      <c r="S156" s="246">
        <v>22</v>
      </c>
      <c r="T156" s="144">
        <f t="shared" si="18"/>
        <v>0</v>
      </c>
      <c r="U156" s="144">
        <f t="shared" si="19"/>
        <v>-5613.44</v>
      </c>
      <c r="V156" s="141">
        <f t="shared" si="20"/>
        <v>222</v>
      </c>
    </row>
    <row r="157" spans="1:22" s="139" customFormat="1" ht="12.75">
      <c r="A157" s="242" t="s">
        <v>415</v>
      </c>
      <c r="B157" s="137">
        <v>42521</v>
      </c>
      <c r="C157" s="136" t="s">
        <v>416</v>
      </c>
      <c r="D157" s="138">
        <v>1807.5</v>
      </c>
      <c r="E157" s="145"/>
      <c r="F157" s="147"/>
      <c r="K157" s="142">
        <v>42522</v>
      </c>
      <c r="L157" s="142"/>
      <c r="M157" s="137">
        <f>+N157</f>
        <v>42522</v>
      </c>
      <c r="N157" s="137">
        <v>42522</v>
      </c>
      <c r="O157" s="143">
        <f t="shared" si="14"/>
        <v>0</v>
      </c>
      <c r="P157" s="143">
        <f t="shared" si="15"/>
        <v>0</v>
      </c>
      <c r="Q157" s="143">
        <f t="shared" si="16"/>
        <v>0</v>
      </c>
      <c r="R157" s="143">
        <f t="shared" si="17"/>
        <v>-30</v>
      </c>
      <c r="S157" s="246">
        <v>21</v>
      </c>
      <c r="T157" s="144">
        <f t="shared" si="18"/>
        <v>0</v>
      </c>
      <c r="U157" s="144">
        <f t="shared" si="19"/>
        <v>-54225</v>
      </c>
      <c r="V157" s="141">
        <f t="shared" si="20"/>
        <v>221</v>
      </c>
    </row>
    <row r="158" spans="1:22" s="141" customFormat="1" ht="12.75">
      <c r="A158" s="242" t="s">
        <v>418</v>
      </c>
      <c r="B158" s="153">
        <v>42493</v>
      </c>
      <c r="C158" s="152" t="s">
        <v>417</v>
      </c>
      <c r="D158" s="154">
        <v>662.21</v>
      </c>
      <c r="K158" s="151">
        <v>42549</v>
      </c>
      <c r="L158" s="151"/>
      <c r="M158" s="151">
        <f>+N158</f>
        <v>42550</v>
      </c>
      <c r="N158" s="151">
        <v>42550</v>
      </c>
      <c r="O158" s="143">
        <f t="shared" si="14"/>
        <v>1</v>
      </c>
      <c r="P158" s="143">
        <f t="shared" si="15"/>
        <v>0</v>
      </c>
      <c r="Q158" s="143">
        <f t="shared" si="16"/>
        <v>1</v>
      </c>
      <c r="R158" s="143">
        <f t="shared" si="17"/>
        <v>-29</v>
      </c>
      <c r="S158" s="246">
        <v>29</v>
      </c>
      <c r="T158" s="144">
        <f t="shared" si="18"/>
        <v>0</v>
      </c>
      <c r="U158" s="144">
        <f t="shared" si="19"/>
        <v>-19204.09</v>
      </c>
      <c r="V158" s="141">
        <f t="shared" si="20"/>
        <v>229</v>
      </c>
    </row>
    <row r="159" spans="1:22" s="235" customFormat="1" ht="12.75">
      <c r="A159" s="242" t="s">
        <v>420</v>
      </c>
      <c r="B159" s="232">
        <v>42537</v>
      </c>
      <c r="C159" s="233" t="s">
        <v>419</v>
      </c>
      <c r="D159" s="234">
        <v>3630</v>
      </c>
      <c r="K159" s="236">
        <v>42549</v>
      </c>
      <c r="L159" s="236"/>
      <c r="M159" s="236">
        <f>+N159</f>
        <v>42550</v>
      </c>
      <c r="N159" s="236">
        <v>42550</v>
      </c>
      <c r="O159" s="143">
        <f t="shared" si="14"/>
        <v>1</v>
      </c>
      <c r="P159" s="143">
        <f t="shared" si="15"/>
        <v>0</v>
      </c>
      <c r="Q159" s="143">
        <f t="shared" si="16"/>
        <v>1</v>
      </c>
      <c r="R159" s="143">
        <f t="shared" si="17"/>
        <v>-29</v>
      </c>
      <c r="S159" s="246">
        <v>22</v>
      </c>
      <c r="T159" s="144">
        <f t="shared" si="18"/>
        <v>0</v>
      </c>
      <c r="U159" s="144">
        <f t="shared" si="19"/>
        <v>-105270</v>
      </c>
      <c r="V159" s="141">
        <f t="shared" si="20"/>
        <v>222</v>
      </c>
    </row>
    <row r="160" spans="1:22" s="18" customFormat="1" ht="12.75">
      <c r="A160" s="242" t="s">
        <v>421</v>
      </c>
      <c r="B160" s="237">
        <v>42537</v>
      </c>
      <c r="C160" s="238" t="s">
        <v>422</v>
      </c>
      <c r="D160" s="239">
        <v>242</v>
      </c>
      <c r="K160" s="237">
        <v>42549</v>
      </c>
      <c r="L160" s="237"/>
      <c r="M160" s="237">
        <f>+N160</f>
        <v>42550</v>
      </c>
      <c r="N160" s="237">
        <v>42550</v>
      </c>
      <c r="O160" s="143">
        <f t="shared" si="14"/>
        <v>1</v>
      </c>
      <c r="P160" s="143">
        <f t="shared" si="15"/>
        <v>0</v>
      </c>
      <c r="Q160" s="143">
        <f t="shared" si="16"/>
        <v>1</v>
      </c>
      <c r="R160" s="143">
        <f t="shared" si="17"/>
        <v>-29</v>
      </c>
      <c r="S160" s="246">
        <v>29</v>
      </c>
      <c r="T160" s="144">
        <f t="shared" si="18"/>
        <v>0</v>
      </c>
      <c r="U160" s="144">
        <f t="shared" si="19"/>
        <v>-7018</v>
      </c>
      <c r="V160" s="141">
        <f t="shared" si="20"/>
        <v>229</v>
      </c>
    </row>
    <row r="161" spans="1:22" s="18" customFormat="1" ht="12.75">
      <c r="A161" s="242" t="s">
        <v>424</v>
      </c>
      <c r="B161" s="237">
        <v>42537</v>
      </c>
      <c r="C161" s="241" t="s">
        <v>423</v>
      </c>
      <c r="D161" s="239">
        <v>480</v>
      </c>
      <c r="K161" s="237">
        <v>42549</v>
      </c>
      <c r="L161" s="237"/>
      <c r="M161" s="237">
        <f>+N161</f>
        <v>42550</v>
      </c>
      <c r="N161" s="237">
        <v>42550</v>
      </c>
      <c r="O161" s="143">
        <f t="shared" si="14"/>
        <v>1</v>
      </c>
      <c r="P161" s="143">
        <f t="shared" si="15"/>
        <v>0</v>
      </c>
      <c r="Q161" s="143">
        <f t="shared" si="16"/>
        <v>1</v>
      </c>
      <c r="R161" s="143">
        <f t="shared" si="17"/>
        <v>-29</v>
      </c>
      <c r="S161" s="246">
        <v>29</v>
      </c>
      <c r="T161" s="144">
        <f t="shared" si="18"/>
        <v>0</v>
      </c>
      <c r="U161" s="144">
        <f t="shared" si="19"/>
        <v>-13920</v>
      </c>
      <c r="V161" s="141">
        <f t="shared" si="20"/>
        <v>229</v>
      </c>
    </row>
    <row r="162" spans="1:22" s="18" customFormat="1" ht="12.75">
      <c r="A162" s="242" t="s">
        <v>425</v>
      </c>
      <c r="B162" s="237">
        <v>42531</v>
      </c>
      <c r="C162" s="241" t="s">
        <v>426</v>
      </c>
      <c r="D162" s="239">
        <v>155.72</v>
      </c>
      <c r="K162" s="237">
        <v>42549</v>
      </c>
      <c r="L162" s="237"/>
      <c r="M162" s="237">
        <f>+N162</f>
        <v>42550</v>
      </c>
      <c r="N162" s="237">
        <v>42550</v>
      </c>
      <c r="O162" s="143">
        <f t="shared" si="14"/>
        <v>1</v>
      </c>
      <c r="P162" s="143">
        <f t="shared" si="15"/>
        <v>0</v>
      </c>
      <c r="Q162" s="143">
        <f t="shared" si="16"/>
        <v>1</v>
      </c>
      <c r="R162" s="143">
        <f t="shared" si="17"/>
        <v>-29</v>
      </c>
      <c r="S162" s="246">
        <v>29</v>
      </c>
      <c r="T162" s="144">
        <f t="shared" si="18"/>
        <v>0</v>
      </c>
      <c r="U162" s="144">
        <f t="shared" si="19"/>
        <v>-4515.88</v>
      </c>
      <c r="V162" s="141">
        <f t="shared" si="20"/>
        <v>229</v>
      </c>
    </row>
    <row r="163" spans="1:22" s="18" customFormat="1" ht="12.75">
      <c r="A163" s="242" t="s">
        <v>428</v>
      </c>
      <c r="B163" s="237">
        <v>42537</v>
      </c>
      <c r="C163" s="241" t="s">
        <v>427</v>
      </c>
      <c r="D163" s="239">
        <v>475.75</v>
      </c>
      <c r="K163" s="237">
        <v>42549</v>
      </c>
      <c r="L163" s="237"/>
      <c r="M163" s="237">
        <f>+N163</f>
        <v>42550</v>
      </c>
      <c r="N163" s="237">
        <v>42550</v>
      </c>
      <c r="O163" s="143">
        <f t="shared" si="14"/>
        <v>1</v>
      </c>
      <c r="P163" s="143">
        <f t="shared" si="15"/>
        <v>0</v>
      </c>
      <c r="Q163" s="143">
        <f t="shared" si="16"/>
        <v>1</v>
      </c>
      <c r="R163" s="143">
        <f t="shared" si="17"/>
        <v>-29</v>
      </c>
      <c r="S163" s="18">
        <v>29</v>
      </c>
      <c r="T163" s="144">
        <f t="shared" si="18"/>
        <v>0</v>
      </c>
      <c r="U163" s="144">
        <f t="shared" si="19"/>
        <v>-13796.75</v>
      </c>
      <c r="V163" s="141">
        <f t="shared" si="20"/>
        <v>229</v>
      </c>
    </row>
    <row r="164" spans="1:22" s="18" customFormat="1" ht="12.75">
      <c r="A164" s="242" t="s">
        <v>429</v>
      </c>
      <c r="B164" s="237">
        <v>42538</v>
      </c>
      <c r="C164" s="241" t="s">
        <v>433</v>
      </c>
      <c r="D164" s="239">
        <v>484</v>
      </c>
      <c r="K164" s="237">
        <v>42549</v>
      </c>
      <c r="L164" s="237"/>
      <c r="M164" s="237">
        <f>+N164</f>
        <v>42550</v>
      </c>
      <c r="N164" s="237">
        <v>42550</v>
      </c>
      <c r="O164" s="143">
        <f t="shared" si="14"/>
        <v>1</v>
      </c>
      <c r="P164" s="143">
        <f t="shared" si="15"/>
        <v>0</v>
      </c>
      <c r="Q164" s="143">
        <f t="shared" si="16"/>
        <v>1</v>
      </c>
      <c r="R164" s="143">
        <f t="shared" si="17"/>
        <v>-29</v>
      </c>
      <c r="S164" s="18">
        <v>29</v>
      </c>
      <c r="T164" s="144">
        <f t="shared" si="18"/>
        <v>0</v>
      </c>
      <c r="U164" s="144">
        <f t="shared" si="19"/>
        <v>-14036</v>
      </c>
      <c r="V164" s="141">
        <f t="shared" si="20"/>
        <v>229</v>
      </c>
    </row>
    <row r="165" spans="1:22" s="18" customFormat="1" ht="12.75">
      <c r="A165" s="242" t="s">
        <v>430</v>
      </c>
      <c r="B165" s="237">
        <v>42537</v>
      </c>
      <c r="C165" s="241" t="s">
        <v>434</v>
      </c>
      <c r="D165" s="239">
        <v>1149.5</v>
      </c>
      <c r="K165" s="237">
        <v>42549</v>
      </c>
      <c r="L165" s="237"/>
      <c r="M165" s="237">
        <f>+N165</f>
        <v>42550</v>
      </c>
      <c r="N165" s="237">
        <v>42550</v>
      </c>
      <c r="O165" s="143">
        <f t="shared" si="14"/>
        <v>1</v>
      </c>
      <c r="P165" s="143">
        <f t="shared" si="15"/>
        <v>0</v>
      </c>
      <c r="Q165" s="143">
        <f t="shared" si="16"/>
        <v>1</v>
      </c>
      <c r="R165" s="143">
        <f t="shared" si="17"/>
        <v>-29</v>
      </c>
      <c r="S165" s="18">
        <v>29</v>
      </c>
      <c r="T165" s="144">
        <f t="shared" si="18"/>
        <v>0</v>
      </c>
      <c r="U165" s="144">
        <f t="shared" si="19"/>
        <v>-33335.5</v>
      </c>
      <c r="V165" s="141">
        <f t="shared" si="20"/>
        <v>229</v>
      </c>
    </row>
    <row r="166" spans="1:22" s="18" customFormat="1" ht="12.75">
      <c r="A166" s="242" t="s">
        <v>431</v>
      </c>
      <c r="B166" s="237">
        <v>42524</v>
      </c>
      <c r="C166" s="241" t="s">
        <v>435</v>
      </c>
      <c r="D166" s="239">
        <v>290.4</v>
      </c>
      <c r="K166" s="237">
        <v>42549</v>
      </c>
      <c r="L166" s="237"/>
      <c r="M166" s="237">
        <f>+N166</f>
        <v>42550</v>
      </c>
      <c r="N166" s="237">
        <v>42550</v>
      </c>
      <c r="O166" s="143">
        <f t="shared" si="14"/>
        <v>1</v>
      </c>
      <c r="P166" s="143">
        <f t="shared" si="15"/>
        <v>0</v>
      </c>
      <c r="Q166" s="143">
        <f t="shared" si="16"/>
        <v>1</v>
      </c>
      <c r="R166" s="143">
        <f t="shared" si="17"/>
        <v>-29</v>
      </c>
      <c r="S166" s="245">
        <v>29</v>
      </c>
      <c r="T166" s="144">
        <f t="shared" si="18"/>
        <v>0</v>
      </c>
      <c r="U166" s="144">
        <f t="shared" si="19"/>
        <v>-8421.599999999999</v>
      </c>
      <c r="V166" s="141">
        <f t="shared" si="20"/>
        <v>229</v>
      </c>
    </row>
    <row r="167" spans="1:22" s="18" customFormat="1" ht="12.75">
      <c r="A167" s="242" t="s">
        <v>432</v>
      </c>
      <c r="B167" s="237">
        <v>42535</v>
      </c>
      <c r="C167" s="241" t="s">
        <v>436</v>
      </c>
      <c r="D167" s="239">
        <v>453.42</v>
      </c>
      <c r="K167" s="237">
        <v>42537</v>
      </c>
      <c r="L167" s="237"/>
      <c r="M167" s="237">
        <f>+N167</f>
        <v>42537</v>
      </c>
      <c r="N167" s="237">
        <v>42537</v>
      </c>
      <c r="O167" s="143">
        <f t="shared" si="14"/>
        <v>0</v>
      </c>
      <c r="P167" s="143">
        <f t="shared" si="15"/>
        <v>0</v>
      </c>
      <c r="Q167" s="143">
        <f t="shared" si="16"/>
        <v>0</v>
      </c>
      <c r="R167" s="143">
        <f t="shared" si="17"/>
        <v>-30</v>
      </c>
      <c r="S167" s="245">
        <v>29</v>
      </c>
      <c r="T167" s="144">
        <f t="shared" si="18"/>
        <v>0</v>
      </c>
      <c r="U167" s="144">
        <f t="shared" si="19"/>
        <v>-13602.6</v>
      </c>
      <c r="V167" s="141">
        <f t="shared" si="20"/>
        <v>229</v>
      </c>
    </row>
    <row r="168" spans="1:22" s="18" customFormat="1" ht="12.75">
      <c r="A168" s="242" t="s">
        <v>438</v>
      </c>
      <c r="B168" s="237">
        <v>42521</v>
      </c>
      <c r="C168" s="241" t="s">
        <v>437</v>
      </c>
      <c r="D168" s="239">
        <v>205.7</v>
      </c>
      <c r="K168" s="237">
        <v>42549</v>
      </c>
      <c r="L168" s="237"/>
      <c r="M168" s="237">
        <f>+N168</f>
        <v>42550</v>
      </c>
      <c r="N168" s="237">
        <v>42550</v>
      </c>
      <c r="O168" s="143">
        <f t="shared" si="14"/>
        <v>1</v>
      </c>
      <c r="P168" s="143">
        <f t="shared" si="15"/>
        <v>0</v>
      </c>
      <c r="Q168" s="143">
        <f t="shared" si="16"/>
        <v>1</v>
      </c>
      <c r="R168" s="143">
        <f t="shared" si="17"/>
        <v>-29</v>
      </c>
      <c r="S168" s="245">
        <v>29</v>
      </c>
      <c r="T168" s="144">
        <f t="shared" si="18"/>
        <v>0</v>
      </c>
      <c r="U168" s="144">
        <f t="shared" si="19"/>
        <v>-5965.299999999999</v>
      </c>
      <c r="V168" s="141">
        <f t="shared" si="20"/>
        <v>229</v>
      </c>
    </row>
    <row r="169" spans="1:22" s="18" customFormat="1" ht="12.75">
      <c r="A169" s="242" t="s">
        <v>439</v>
      </c>
      <c r="B169" s="237">
        <v>42536</v>
      </c>
      <c r="C169" s="241" t="s">
        <v>440</v>
      </c>
      <c r="D169" s="239">
        <v>429.13</v>
      </c>
      <c r="K169" s="237">
        <v>42556</v>
      </c>
      <c r="L169" s="237"/>
      <c r="M169" s="237">
        <f>+N169</f>
        <v>42538</v>
      </c>
      <c r="N169" s="237">
        <v>42538</v>
      </c>
      <c r="O169" s="143">
        <f t="shared" si="14"/>
        <v>-18</v>
      </c>
      <c r="P169" s="143">
        <f t="shared" si="15"/>
        <v>0</v>
      </c>
      <c r="Q169" s="143">
        <f t="shared" si="16"/>
        <v>-18</v>
      </c>
      <c r="R169" s="143">
        <f t="shared" si="17"/>
        <v>-48</v>
      </c>
      <c r="S169" s="245">
        <v>29</v>
      </c>
      <c r="T169" s="144">
        <f t="shared" si="18"/>
        <v>0</v>
      </c>
      <c r="U169" s="144">
        <f t="shared" si="19"/>
        <v>-20598.239999999998</v>
      </c>
      <c r="V169" s="141">
        <f t="shared" si="20"/>
        <v>229</v>
      </c>
    </row>
    <row r="170" spans="1:22" s="18" customFormat="1" ht="12.75">
      <c r="A170" s="242" t="s">
        <v>441</v>
      </c>
      <c r="B170" s="237">
        <v>42515</v>
      </c>
      <c r="C170" s="241" t="s">
        <v>443</v>
      </c>
      <c r="D170" s="239">
        <v>135.87</v>
      </c>
      <c r="K170" s="237">
        <v>42531</v>
      </c>
      <c r="L170" s="237"/>
      <c r="M170" s="237">
        <f>+N170</f>
        <v>42531</v>
      </c>
      <c r="N170" s="237">
        <v>42531</v>
      </c>
      <c r="O170" s="143">
        <f t="shared" si="14"/>
        <v>0</v>
      </c>
      <c r="P170" s="143">
        <f t="shared" si="15"/>
        <v>0</v>
      </c>
      <c r="Q170" s="143">
        <f t="shared" si="16"/>
        <v>0</v>
      </c>
      <c r="R170" s="143">
        <f t="shared" si="17"/>
        <v>-30</v>
      </c>
      <c r="S170" s="245">
        <v>29</v>
      </c>
      <c r="T170" s="144">
        <f t="shared" si="18"/>
        <v>0</v>
      </c>
      <c r="U170" s="144">
        <f t="shared" si="19"/>
        <v>-4076.1000000000004</v>
      </c>
      <c r="V170" s="141">
        <f t="shared" si="20"/>
        <v>229</v>
      </c>
    </row>
    <row r="171" spans="1:22" s="18" customFormat="1" ht="12.75">
      <c r="A171" s="242" t="s">
        <v>442</v>
      </c>
      <c r="B171" s="237">
        <v>42536</v>
      </c>
      <c r="C171" s="241" t="s">
        <v>444</v>
      </c>
      <c r="D171" s="239">
        <v>106.6</v>
      </c>
      <c r="K171" s="237">
        <v>42537</v>
      </c>
      <c r="L171" s="237"/>
      <c r="M171" s="237">
        <f>+N171</f>
        <v>42537</v>
      </c>
      <c r="N171" s="237">
        <v>42537</v>
      </c>
      <c r="O171" s="143">
        <f t="shared" si="14"/>
        <v>0</v>
      </c>
      <c r="P171" s="143">
        <f t="shared" si="15"/>
        <v>0</v>
      </c>
      <c r="Q171" s="143">
        <f t="shared" si="16"/>
        <v>0</v>
      </c>
      <c r="R171" s="143">
        <f t="shared" si="17"/>
        <v>-30</v>
      </c>
      <c r="S171" s="245">
        <v>29</v>
      </c>
      <c r="T171" s="144">
        <f t="shared" si="18"/>
        <v>0</v>
      </c>
      <c r="U171" s="144">
        <f t="shared" si="19"/>
        <v>-3198</v>
      </c>
      <c r="V171" s="141">
        <f t="shared" si="20"/>
        <v>229</v>
      </c>
    </row>
    <row r="172" spans="1:22" s="18" customFormat="1" ht="12.75">
      <c r="A172" s="242" t="s">
        <v>445</v>
      </c>
      <c r="B172" s="237">
        <v>42535</v>
      </c>
      <c r="C172" s="241" t="s">
        <v>447</v>
      </c>
      <c r="D172" s="239">
        <v>371.49</v>
      </c>
      <c r="K172" s="237">
        <v>42537</v>
      </c>
      <c r="L172" s="237"/>
      <c r="M172" s="237">
        <f>+N172</f>
        <v>42537</v>
      </c>
      <c r="N172" s="237">
        <v>42537</v>
      </c>
      <c r="O172" s="143">
        <f t="shared" si="14"/>
        <v>0</v>
      </c>
      <c r="P172" s="143">
        <f t="shared" si="15"/>
        <v>0</v>
      </c>
      <c r="Q172" s="143">
        <f t="shared" si="16"/>
        <v>0</v>
      </c>
      <c r="R172" s="143">
        <f t="shared" si="17"/>
        <v>-30</v>
      </c>
      <c r="S172" s="18">
        <v>29</v>
      </c>
      <c r="T172" s="144">
        <f t="shared" si="18"/>
        <v>0</v>
      </c>
      <c r="U172" s="144">
        <f t="shared" si="19"/>
        <v>-11144.7</v>
      </c>
      <c r="V172" s="141">
        <f t="shared" si="20"/>
        <v>229</v>
      </c>
    </row>
    <row r="173" spans="1:22" s="18" customFormat="1" ht="12.75">
      <c r="A173" s="242" t="s">
        <v>446</v>
      </c>
      <c r="B173" s="237">
        <v>42535</v>
      </c>
      <c r="C173" s="241" t="s">
        <v>448</v>
      </c>
      <c r="D173" s="239">
        <v>419.93</v>
      </c>
      <c r="K173" s="237">
        <v>42537</v>
      </c>
      <c r="L173" s="237"/>
      <c r="M173" s="237">
        <f>+N173</f>
        <v>42537</v>
      </c>
      <c r="N173" s="237">
        <v>42537</v>
      </c>
      <c r="O173" s="143">
        <f t="shared" si="14"/>
        <v>0</v>
      </c>
      <c r="P173" s="143">
        <f t="shared" si="15"/>
        <v>0</v>
      </c>
      <c r="Q173" s="143">
        <f t="shared" si="16"/>
        <v>0</v>
      </c>
      <c r="R173" s="143">
        <f t="shared" si="17"/>
        <v>-30</v>
      </c>
      <c r="S173" s="18">
        <v>29</v>
      </c>
      <c r="T173" s="144">
        <f t="shared" si="18"/>
        <v>0</v>
      </c>
      <c r="U173" s="144">
        <f t="shared" si="19"/>
        <v>-12597.9</v>
      </c>
      <c r="V173" s="141">
        <f t="shared" si="20"/>
        <v>229</v>
      </c>
    </row>
    <row r="174" spans="1:22" s="18" customFormat="1" ht="12.75">
      <c r="A174" s="242" t="s">
        <v>449</v>
      </c>
      <c r="B174" s="237">
        <v>42537</v>
      </c>
      <c r="C174" s="241" t="s">
        <v>450</v>
      </c>
      <c r="D174" s="239">
        <v>508.9</v>
      </c>
      <c r="K174" s="237">
        <v>42541</v>
      </c>
      <c r="L174" s="237"/>
      <c r="M174" s="237">
        <f>+N174</f>
        <v>42541</v>
      </c>
      <c r="N174" s="237">
        <v>42541</v>
      </c>
      <c r="O174" s="143">
        <f t="shared" si="14"/>
        <v>0</v>
      </c>
      <c r="P174" s="143">
        <f t="shared" si="15"/>
        <v>0</v>
      </c>
      <c r="Q174" s="143">
        <f t="shared" si="16"/>
        <v>0</v>
      </c>
      <c r="R174" s="143">
        <f t="shared" si="17"/>
        <v>-30</v>
      </c>
      <c r="S174" s="18">
        <v>29</v>
      </c>
      <c r="T174" s="144">
        <f t="shared" si="18"/>
        <v>0</v>
      </c>
      <c r="U174" s="144">
        <f t="shared" si="19"/>
        <v>-15267</v>
      </c>
      <c r="V174" s="141">
        <f t="shared" si="20"/>
        <v>229</v>
      </c>
    </row>
    <row r="175" spans="1:22" s="18" customFormat="1" ht="12.75">
      <c r="A175" s="242" t="s">
        <v>451</v>
      </c>
      <c r="B175" s="237">
        <v>42468</v>
      </c>
      <c r="C175" s="241" t="s">
        <v>244</v>
      </c>
      <c r="D175" s="239">
        <v>453.64</v>
      </c>
      <c r="K175" s="237">
        <v>42535</v>
      </c>
      <c r="L175" s="237"/>
      <c r="M175" s="237">
        <f>+N175</f>
        <v>42535</v>
      </c>
      <c r="N175" s="237">
        <v>42535</v>
      </c>
      <c r="O175" s="143">
        <f t="shared" si="14"/>
        <v>0</v>
      </c>
      <c r="P175" s="143">
        <f t="shared" si="15"/>
        <v>0</v>
      </c>
      <c r="Q175" s="143">
        <f t="shared" si="16"/>
        <v>0</v>
      </c>
      <c r="R175" s="143">
        <f t="shared" si="17"/>
        <v>-30</v>
      </c>
      <c r="S175" s="245">
        <v>22</v>
      </c>
      <c r="T175" s="144">
        <f t="shared" si="18"/>
        <v>0</v>
      </c>
      <c r="U175" s="144">
        <f t="shared" si="19"/>
        <v>-13609.199999999999</v>
      </c>
      <c r="V175" s="141">
        <f t="shared" si="20"/>
        <v>222</v>
      </c>
    </row>
    <row r="176" spans="1:22" s="18" customFormat="1" ht="12.75">
      <c r="A176" s="242" t="s">
        <v>452</v>
      </c>
      <c r="B176" s="237">
        <v>42494</v>
      </c>
      <c r="C176" s="241" t="s">
        <v>453</v>
      </c>
      <c r="D176" s="239">
        <v>126</v>
      </c>
      <c r="K176" s="237">
        <v>42551</v>
      </c>
      <c r="L176" s="237"/>
      <c r="M176" s="237">
        <f>+N176</f>
        <v>42551</v>
      </c>
      <c r="N176" s="237">
        <v>42551</v>
      </c>
      <c r="O176" s="143">
        <f t="shared" si="14"/>
        <v>0</v>
      </c>
      <c r="P176" s="143">
        <f t="shared" si="15"/>
        <v>0</v>
      </c>
      <c r="Q176" s="143">
        <f t="shared" si="16"/>
        <v>0</v>
      </c>
      <c r="R176" s="143">
        <f t="shared" si="17"/>
        <v>-30</v>
      </c>
      <c r="S176" s="245">
        <v>29</v>
      </c>
      <c r="T176" s="144">
        <f t="shared" si="18"/>
        <v>0</v>
      </c>
      <c r="U176" s="144">
        <f t="shared" si="19"/>
        <v>-3780</v>
      </c>
      <c r="V176" s="141">
        <f t="shared" si="20"/>
        <v>229</v>
      </c>
    </row>
    <row r="177" spans="1:22" s="18" customFormat="1" ht="12.75">
      <c r="A177" s="242" t="s">
        <v>454</v>
      </c>
      <c r="B177" s="237">
        <v>42471</v>
      </c>
      <c r="C177" s="241" t="s">
        <v>455</v>
      </c>
      <c r="D177" s="239">
        <v>491.47</v>
      </c>
      <c r="K177" s="237">
        <v>42499</v>
      </c>
      <c r="L177" s="237"/>
      <c r="M177" s="237">
        <f>+N177</f>
        <v>42499</v>
      </c>
      <c r="N177" s="237">
        <v>42499</v>
      </c>
      <c r="O177" s="143">
        <f t="shared" si="14"/>
        <v>0</v>
      </c>
      <c r="P177" s="143">
        <f t="shared" si="15"/>
        <v>0</v>
      </c>
      <c r="Q177" s="143">
        <f t="shared" si="16"/>
        <v>0</v>
      </c>
      <c r="R177" s="143">
        <f t="shared" si="17"/>
        <v>-30</v>
      </c>
      <c r="S177" s="245">
        <v>29</v>
      </c>
      <c r="T177" s="144">
        <f t="shared" si="18"/>
        <v>0</v>
      </c>
      <c r="U177" s="144">
        <f t="shared" si="19"/>
        <v>-14744.1</v>
      </c>
      <c r="V177" s="141">
        <f t="shared" si="20"/>
        <v>229</v>
      </c>
    </row>
    <row r="178" spans="1:22" s="18" customFormat="1" ht="12.75">
      <c r="A178" s="242" t="s">
        <v>456</v>
      </c>
      <c r="B178" s="237">
        <v>42540</v>
      </c>
      <c r="C178" s="241" t="s">
        <v>457</v>
      </c>
      <c r="D178" s="239">
        <v>74.48</v>
      </c>
      <c r="K178" s="237">
        <v>42633</v>
      </c>
      <c r="L178" s="237"/>
      <c r="M178" s="237">
        <f>+N178</f>
        <v>42541</v>
      </c>
      <c r="N178" s="237">
        <v>42541</v>
      </c>
      <c r="O178" s="143">
        <f t="shared" si="14"/>
        <v>-92</v>
      </c>
      <c r="P178" s="143">
        <f t="shared" si="15"/>
        <v>0</v>
      </c>
      <c r="Q178" s="143">
        <f t="shared" si="16"/>
        <v>-92</v>
      </c>
      <c r="R178" s="143">
        <f t="shared" si="17"/>
        <v>-122</v>
      </c>
      <c r="S178" s="245">
        <v>29</v>
      </c>
      <c r="T178" s="144">
        <f t="shared" si="18"/>
        <v>0</v>
      </c>
      <c r="U178" s="144">
        <f t="shared" si="19"/>
        <v>-9086.560000000001</v>
      </c>
      <c r="V178" s="141">
        <f t="shared" si="20"/>
        <v>229</v>
      </c>
    </row>
    <row r="179" spans="1:22" s="18" customFormat="1" ht="12.75">
      <c r="A179" s="242" t="s">
        <v>458</v>
      </c>
      <c r="B179" s="237">
        <v>42535</v>
      </c>
      <c r="C179" s="241" t="s">
        <v>459</v>
      </c>
      <c r="D179" s="239">
        <v>390.3</v>
      </c>
      <c r="K179" s="237">
        <v>42537</v>
      </c>
      <c r="L179" s="237"/>
      <c r="M179" s="237">
        <f>+N179</f>
        <v>42537</v>
      </c>
      <c r="N179" s="237">
        <v>42537</v>
      </c>
      <c r="O179" s="143">
        <f t="shared" si="14"/>
        <v>0</v>
      </c>
      <c r="P179" s="143">
        <f t="shared" si="15"/>
        <v>0</v>
      </c>
      <c r="Q179" s="143">
        <f t="shared" si="16"/>
        <v>0</v>
      </c>
      <c r="R179" s="143">
        <f t="shared" si="17"/>
        <v>-30</v>
      </c>
      <c r="S179" s="245">
        <v>29</v>
      </c>
      <c r="T179" s="144">
        <f t="shared" si="18"/>
        <v>0</v>
      </c>
      <c r="U179" s="144">
        <f t="shared" si="19"/>
        <v>-11709</v>
      </c>
      <c r="V179" s="141">
        <f t="shared" si="20"/>
        <v>229</v>
      </c>
    </row>
    <row r="180" spans="1:22" s="18" customFormat="1" ht="12.75">
      <c r="A180" s="242" t="s">
        <v>460</v>
      </c>
      <c r="B180" s="237">
        <v>42503</v>
      </c>
      <c r="C180" s="241" t="s">
        <v>461</v>
      </c>
      <c r="D180" s="239">
        <v>479.97</v>
      </c>
      <c r="K180" s="237">
        <v>42507</v>
      </c>
      <c r="L180" s="237"/>
      <c r="M180" s="237">
        <f>+N180</f>
        <v>42507</v>
      </c>
      <c r="N180" s="237">
        <v>42507</v>
      </c>
      <c r="O180" s="143">
        <f t="shared" si="14"/>
        <v>0</v>
      </c>
      <c r="P180" s="143">
        <f t="shared" si="15"/>
        <v>0</v>
      </c>
      <c r="Q180" s="143">
        <f t="shared" si="16"/>
        <v>0</v>
      </c>
      <c r="R180" s="143">
        <f t="shared" si="17"/>
        <v>-30</v>
      </c>
      <c r="S180" s="245">
        <v>29</v>
      </c>
      <c r="T180" s="144">
        <f t="shared" si="18"/>
        <v>0</v>
      </c>
      <c r="U180" s="144">
        <f t="shared" si="19"/>
        <v>-14399.1</v>
      </c>
      <c r="V180" s="141">
        <f t="shared" si="20"/>
        <v>229</v>
      </c>
    </row>
    <row r="181" spans="1:22" s="18" customFormat="1" ht="12.75">
      <c r="A181" s="242" t="s">
        <v>462</v>
      </c>
      <c r="B181" s="237">
        <v>42542</v>
      </c>
      <c r="C181" s="241" t="s">
        <v>463</v>
      </c>
      <c r="D181" s="239">
        <v>62.86</v>
      </c>
      <c r="K181" s="237">
        <v>42544</v>
      </c>
      <c r="L181" s="237"/>
      <c r="M181" s="237">
        <f>+N181</f>
        <v>42544</v>
      </c>
      <c r="N181" s="237">
        <v>42544</v>
      </c>
      <c r="O181" s="143">
        <f t="shared" si="14"/>
        <v>0</v>
      </c>
      <c r="P181" s="143">
        <f t="shared" si="15"/>
        <v>0</v>
      </c>
      <c r="Q181" s="143">
        <f t="shared" si="16"/>
        <v>0</v>
      </c>
      <c r="R181" s="143">
        <f t="shared" si="17"/>
        <v>-30</v>
      </c>
      <c r="S181" s="245">
        <v>21</v>
      </c>
      <c r="T181" s="144">
        <f t="shared" si="18"/>
        <v>0</v>
      </c>
      <c r="U181" s="144">
        <f t="shared" si="19"/>
        <v>-1885.8</v>
      </c>
      <c r="V181" s="141">
        <f t="shared" si="20"/>
        <v>221</v>
      </c>
    </row>
    <row r="182" spans="1:22" s="18" customFormat="1" ht="12.75">
      <c r="A182" s="242" t="s">
        <v>464</v>
      </c>
      <c r="B182" s="237">
        <v>42545</v>
      </c>
      <c r="C182" s="241" t="s">
        <v>465</v>
      </c>
      <c r="D182" s="239">
        <v>70</v>
      </c>
      <c r="K182" s="237">
        <v>42542</v>
      </c>
      <c r="L182" s="237"/>
      <c r="M182" s="237">
        <f>+N182</f>
        <v>42542</v>
      </c>
      <c r="N182" s="237">
        <v>42542</v>
      </c>
      <c r="O182" s="143">
        <f t="shared" si="14"/>
        <v>0</v>
      </c>
      <c r="P182" s="143">
        <f t="shared" si="15"/>
        <v>0</v>
      </c>
      <c r="Q182" s="143">
        <f t="shared" si="16"/>
        <v>0</v>
      </c>
      <c r="R182" s="143">
        <f t="shared" si="17"/>
        <v>-30</v>
      </c>
      <c r="S182" s="245">
        <v>29</v>
      </c>
      <c r="T182" s="144">
        <f t="shared" si="18"/>
        <v>0</v>
      </c>
      <c r="U182" s="144">
        <f t="shared" si="19"/>
        <v>-2100</v>
      </c>
      <c r="V182" s="141">
        <f t="shared" si="20"/>
        <v>229</v>
      </c>
    </row>
    <row r="183" spans="1:22" s="18" customFormat="1" ht="12.75">
      <c r="A183" s="242" t="s">
        <v>466</v>
      </c>
      <c r="B183" s="237">
        <v>42521</v>
      </c>
      <c r="C183" s="241" t="s">
        <v>467</v>
      </c>
      <c r="D183" s="239">
        <v>659.79</v>
      </c>
      <c r="K183" s="237">
        <v>42522</v>
      </c>
      <c r="L183" s="237"/>
      <c r="M183" s="237">
        <f>+N183</f>
        <v>42522</v>
      </c>
      <c r="N183" s="237">
        <v>42522</v>
      </c>
      <c r="O183" s="143">
        <f t="shared" si="14"/>
        <v>0</v>
      </c>
      <c r="P183" s="143">
        <f t="shared" si="15"/>
        <v>0</v>
      </c>
      <c r="Q183" s="143">
        <f t="shared" si="16"/>
        <v>0</v>
      </c>
      <c r="R183" s="143">
        <f t="shared" si="17"/>
        <v>-30</v>
      </c>
      <c r="S183" s="245">
        <v>29</v>
      </c>
      <c r="T183" s="144">
        <f t="shared" si="18"/>
        <v>0</v>
      </c>
      <c r="U183" s="144">
        <f t="shared" si="19"/>
        <v>-19793.699999999997</v>
      </c>
      <c r="V183" s="141">
        <f t="shared" si="20"/>
        <v>229</v>
      </c>
    </row>
    <row r="184" spans="1:22" s="18" customFormat="1" ht="12.75">
      <c r="A184" s="242" t="s">
        <v>468</v>
      </c>
      <c r="B184" s="237">
        <v>42521</v>
      </c>
      <c r="C184" s="241" t="s">
        <v>469</v>
      </c>
      <c r="D184" s="239">
        <v>119.19</v>
      </c>
      <c r="K184" s="237">
        <v>42522</v>
      </c>
      <c r="L184" s="237"/>
      <c r="M184" s="237">
        <f>+N184</f>
        <v>42522</v>
      </c>
      <c r="N184" s="237">
        <v>42522</v>
      </c>
      <c r="O184" s="143">
        <f t="shared" si="14"/>
        <v>0</v>
      </c>
      <c r="P184" s="143">
        <f t="shared" si="15"/>
        <v>0</v>
      </c>
      <c r="Q184" s="143">
        <f t="shared" si="16"/>
        <v>0</v>
      </c>
      <c r="R184" s="143">
        <f t="shared" si="17"/>
        <v>-30</v>
      </c>
      <c r="S184" s="245">
        <v>29</v>
      </c>
      <c r="T184" s="144">
        <f t="shared" si="18"/>
        <v>0</v>
      </c>
      <c r="U184" s="144">
        <f t="shared" si="19"/>
        <v>-3575.7</v>
      </c>
      <c r="V184" s="141">
        <f t="shared" si="20"/>
        <v>229</v>
      </c>
    </row>
    <row r="185" spans="1:22" s="18" customFormat="1" ht="12.75">
      <c r="A185" s="242" t="s">
        <v>470</v>
      </c>
      <c r="B185" s="237">
        <v>42548</v>
      </c>
      <c r="C185" s="241" t="s">
        <v>471</v>
      </c>
      <c r="D185" s="239">
        <v>7.26</v>
      </c>
      <c r="K185" s="237">
        <v>42548</v>
      </c>
      <c r="L185" s="237"/>
      <c r="M185" s="237">
        <f>+N185</f>
        <v>42548</v>
      </c>
      <c r="N185" s="237">
        <v>42548</v>
      </c>
      <c r="O185" s="143">
        <f t="shared" si="14"/>
        <v>0</v>
      </c>
      <c r="P185" s="143">
        <f t="shared" si="15"/>
        <v>0</v>
      </c>
      <c r="Q185" s="143">
        <f t="shared" si="16"/>
        <v>0</v>
      </c>
      <c r="R185" s="143">
        <f t="shared" si="17"/>
        <v>-30</v>
      </c>
      <c r="S185" s="245">
        <v>29</v>
      </c>
      <c r="T185" s="144">
        <f t="shared" si="18"/>
        <v>0</v>
      </c>
      <c r="U185" s="144">
        <f t="shared" si="19"/>
        <v>-217.79999999999998</v>
      </c>
      <c r="V185" s="141">
        <f t="shared" si="20"/>
        <v>229</v>
      </c>
    </row>
    <row r="186" spans="1:22" s="18" customFormat="1" ht="12.75">
      <c r="A186" s="242" t="s">
        <v>472</v>
      </c>
      <c r="B186" s="237">
        <v>42514</v>
      </c>
      <c r="C186" s="241" t="s">
        <v>473</v>
      </c>
      <c r="D186" s="239">
        <v>162</v>
      </c>
      <c r="K186" s="237">
        <v>42514</v>
      </c>
      <c r="L186" s="237"/>
      <c r="M186" s="237">
        <f>+N186</f>
        <v>42514</v>
      </c>
      <c r="N186" s="237">
        <v>42514</v>
      </c>
      <c r="O186" s="143">
        <f t="shared" si="14"/>
        <v>0</v>
      </c>
      <c r="P186" s="143">
        <f t="shared" si="15"/>
        <v>0</v>
      </c>
      <c r="Q186" s="143">
        <f t="shared" si="16"/>
        <v>0</v>
      </c>
      <c r="R186" s="143">
        <f t="shared" si="17"/>
        <v>-30</v>
      </c>
      <c r="S186" s="245">
        <v>69</v>
      </c>
      <c r="T186" s="144">
        <f t="shared" si="18"/>
        <v>0</v>
      </c>
      <c r="U186" s="144">
        <f t="shared" si="19"/>
        <v>-4860</v>
      </c>
      <c r="V186" s="141">
        <f t="shared" si="20"/>
        <v>269</v>
      </c>
    </row>
    <row r="187" spans="1:22" s="18" customFormat="1" ht="12.75">
      <c r="A187" s="242" t="s">
        <v>474</v>
      </c>
      <c r="B187" s="237">
        <v>42479</v>
      </c>
      <c r="C187" s="241" t="s">
        <v>475</v>
      </c>
      <c r="D187" s="239">
        <v>337.01</v>
      </c>
      <c r="K187" s="237">
        <v>42479</v>
      </c>
      <c r="L187" s="237"/>
      <c r="M187" s="237">
        <f>+N187</f>
        <v>42479</v>
      </c>
      <c r="N187" s="237">
        <v>42479</v>
      </c>
      <c r="O187" s="143">
        <f t="shared" si="14"/>
        <v>0</v>
      </c>
      <c r="P187" s="143">
        <f t="shared" si="15"/>
        <v>0</v>
      </c>
      <c r="Q187" s="143">
        <f t="shared" si="16"/>
        <v>0</v>
      </c>
      <c r="R187" s="143">
        <f t="shared" si="17"/>
        <v>-30</v>
      </c>
      <c r="S187" s="245">
        <v>69</v>
      </c>
      <c r="T187" s="144">
        <f t="shared" si="18"/>
        <v>0</v>
      </c>
      <c r="U187" s="144">
        <f t="shared" si="19"/>
        <v>-10110.3</v>
      </c>
      <c r="V187" s="141">
        <f t="shared" si="20"/>
        <v>269</v>
      </c>
    </row>
    <row r="188" ht="12.75">
      <c r="R188" s="143"/>
    </row>
    <row r="190" spans="2:22" s="18" customFormat="1" ht="12.75">
      <c r="B190" s="237"/>
      <c r="C190" s="238"/>
      <c r="D190" s="239"/>
      <c r="K190" s="237"/>
      <c r="L190" s="237"/>
      <c r="M190" s="237"/>
      <c r="N190" s="237"/>
      <c r="O190" s="240"/>
      <c r="P190" s="240"/>
      <c r="Q190" s="240"/>
      <c r="R190" s="240"/>
      <c r="T190" s="239"/>
      <c r="U190" s="239"/>
      <c r="V190" s="235"/>
    </row>
    <row r="191" spans="2:22" s="18" customFormat="1" ht="12.75">
      <c r="B191" s="237"/>
      <c r="C191" s="238"/>
      <c r="D191" s="239"/>
      <c r="K191" s="237"/>
      <c r="L191" s="237"/>
      <c r="M191" s="237"/>
      <c r="N191" s="237"/>
      <c r="O191" s="240"/>
      <c r="P191" s="240"/>
      <c r="Q191" s="240"/>
      <c r="R191" s="240"/>
      <c r="T191" s="239"/>
      <c r="U191" s="239"/>
      <c r="V191" s="235"/>
    </row>
    <row r="192" spans="2:22" s="18" customFormat="1" ht="12.75">
      <c r="B192" s="237"/>
      <c r="C192" s="238"/>
      <c r="D192" s="239"/>
      <c r="K192" s="237"/>
      <c r="L192" s="237"/>
      <c r="M192" s="237"/>
      <c r="N192" s="237"/>
      <c r="O192" s="240"/>
      <c r="P192" s="240"/>
      <c r="Q192" s="240"/>
      <c r="R192" s="240"/>
      <c r="T192" s="239"/>
      <c r="U192" s="239"/>
      <c r="V192" s="235"/>
    </row>
    <row r="193" spans="2:22" s="18" customFormat="1" ht="12.75">
      <c r="B193" s="237"/>
      <c r="C193" s="238"/>
      <c r="D193" s="239"/>
      <c r="K193" s="237"/>
      <c r="L193" s="237"/>
      <c r="M193" s="237"/>
      <c r="N193" s="237"/>
      <c r="O193" s="240"/>
      <c r="P193" s="240"/>
      <c r="Q193" s="240"/>
      <c r="R193" s="240"/>
      <c r="T193" s="239"/>
      <c r="U193" s="239"/>
      <c r="V193" s="235"/>
    </row>
    <row r="194" spans="2:22" s="18" customFormat="1" ht="12.75">
      <c r="B194" s="237"/>
      <c r="C194" s="238"/>
      <c r="D194" s="239"/>
      <c r="K194" s="237"/>
      <c r="L194" s="237"/>
      <c r="M194" s="237"/>
      <c r="N194" s="237"/>
      <c r="O194" s="240"/>
      <c r="P194" s="240"/>
      <c r="Q194" s="240"/>
      <c r="R194" s="240"/>
      <c r="T194" s="239"/>
      <c r="U194" s="239"/>
      <c r="V194" s="235"/>
    </row>
    <row r="195" spans="2:22" s="18" customFormat="1" ht="12.75">
      <c r="B195" s="237"/>
      <c r="C195" s="238"/>
      <c r="D195" s="239"/>
      <c r="K195" s="237"/>
      <c r="L195" s="237"/>
      <c r="M195" s="237"/>
      <c r="N195" s="237"/>
      <c r="O195" s="240"/>
      <c r="P195" s="240"/>
      <c r="Q195" s="240"/>
      <c r="R195" s="240"/>
      <c r="T195" s="239"/>
      <c r="U195" s="239"/>
      <c r="V195" s="235"/>
    </row>
    <row r="196" spans="2:22" s="18" customFormat="1" ht="12.75">
      <c r="B196" s="237"/>
      <c r="C196" s="238"/>
      <c r="D196" s="239"/>
      <c r="K196" s="237"/>
      <c r="L196" s="237"/>
      <c r="M196" s="237"/>
      <c r="N196" s="237"/>
      <c r="O196" s="240"/>
      <c r="P196" s="240"/>
      <c r="Q196" s="240"/>
      <c r="R196" s="240"/>
      <c r="T196" s="239"/>
      <c r="U196" s="239"/>
      <c r="V196" s="235"/>
    </row>
    <row r="197" spans="2:22" s="18" customFormat="1" ht="12.75">
      <c r="B197" s="237"/>
      <c r="C197" s="238"/>
      <c r="D197" s="239"/>
      <c r="K197" s="237"/>
      <c r="L197" s="237"/>
      <c r="M197" s="237"/>
      <c r="N197" s="237"/>
      <c r="O197" s="240"/>
      <c r="P197" s="240"/>
      <c r="Q197" s="240"/>
      <c r="R197" s="240"/>
      <c r="T197" s="239"/>
      <c r="U197" s="239"/>
      <c r="V197" s="235"/>
    </row>
    <row r="198" spans="2:22" s="18" customFormat="1" ht="12.75">
      <c r="B198" s="237"/>
      <c r="C198" s="238"/>
      <c r="D198" s="239"/>
      <c r="K198" s="237"/>
      <c r="L198" s="237"/>
      <c r="M198" s="237"/>
      <c r="N198" s="237"/>
      <c r="O198" s="240"/>
      <c r="P198" s="240"/>
      <c r="Q198" s="240"/>
      <c r="R198" s="240"/>
      <c r="T198" s="239"/>
      <c r="U198" s="239"/>
      <c r="V198" s="235"/>
    </row>
    <row r="199" spans="2:22" s="18" customFormat="1" ht="12.75">
      <c r="B199" s="237"/>
      <c r="C199" s="238"/>
      <c r="D199" s="239"/>
      <c r="K199" s="237"/>
      <c r="L199" s="237"/>
      <c r="M199" s="237"/>
      <c r="N199" s="237"/>
      <c r="O199" s="240"/>
      <c r="P199" s="240"/>
      <c r="Q199" s="240"/>
      <c r="R199" s="240"/>
      <c r="T199" s="239"/>
      <c r="U199" s="239"/>
      <c r="V199" s="235"/>
    </row>
    <row r="200" spans="2:22" s="18" customFormat="1" ht="12.75">
      <c r="B200" s="237"/>
      <c r="C200" s="238"/>
      <c r="D200" s="239"/>
      <c r="K200" s="237"/>
      <c r="L200" s="237"/>
      <c r="M200" s="237"/>
      <c r="N200" s="237"/>
      <c r="O200" s="240"/>
      <c r="P200" s="240"/>
      <c r="Q200" s="240"/>
      <c r="R200" s="240"/>
      <c r="T200" s="239"/>
      <c r="U200" s="239"/>
      <c r="V200" s="235"/>
    </row>
    <row r="201" spans="2:22" s="18" customFormat="1" ht="12.75">
      <c r="B201" s="237"/>
      <c r="C201" s="238"/>
      <c r="D201" s="239"/>
      <c r="K201" s="237"/>
      <c r="L201" s="237"/>
      <c r="M201" s="237"/>
      <c r="N201" s="237"/>
      <c r="O201" s="240"/>
      <c r="P201" s="240"/>
      <c r="Q201" s="240"/>
      <c r="R201" s="240"/>
      <c r="T201" s="239"/>
      <c r="U201" s="239"/>
      <c r="V201" s="235"/>
    </row>
    <row r="202" spans="2:22" s="18" customFormat="1" ht="12.75">
      <c r="B202" s="237"/>
      <c r="C202" s="238"/>
      <c r="D202" s="239"/>
      <c r="K202" s="237"/>
      <c r="L202" s="237"/>
      <c r="M202" s="237"/>
      <c r="N202" s="237"/>
      <c r="O202" s="240"/>
      <c r="P202" s="240"/>
      <c r="Q202" s="240"/>
      <c r="R202" s="240"/>
      <c r="T202" s="239"/>
      <c r="U202" s="239"/>
      <c r="V202" s="235"/>
    </row>
    <row r="203" spans="2:22" s="18" customFormat="1" ht="12.75">
      <c r="B203" s="237"/>
      <c r="C203" s="238"/>
      <c r="D203" s="239"/>
      <c r="K203" s="237"/>
      <c r="L203" s="237"/>
      <c r="M203" s="237"/>
      <c r="N203" s="237"/>
      <c r="O203" s="240"/>
      <c r="P203" s="240"/>
      <c r="Q203" s="240"/>
      <c r="R203" s="240"/>
      <c r="T203" s="239"/>
      <c r="U203" s="239"/>
      <c r="V203" s="235"/>
    </row>
    <row r="204" spans="2:22" s="18" customFormat="1" ht="12.75">
      <c r="B204" s="237"/>
      <c r="C204" s="238"/>
      <c r="D204" s="239"/>
      <c r="K204" s="237"/>
      <c r="L204" s="237"/>
      <c r="M204" s="237"/>
      <c r="N204" s="237"/>
      <c r="O204" s="240"/>
      <c r="P204" s="240"/>
      <c r="Q204" s="240"/>
      <c r="R204" s="240"/>
      <c r="T204" s="239"/>
      <c r="U204" s="239"/>
      <c r="V204" s="235"/>
    </row>
    <row r="205" spans="2:22" s="18" customFormat="1" ht="12.75">
      <c r="B205" s="237"/>
      <c r="C205" s="238"/>
      <c r="D205" s="239"/>
      <c r="K205" s="237"/>
      <c r="L205" s="237"/>
      <c r="M205" s="237"/>
      <c r="N205" s="237"/>
      <c r="O205" s="240"/>
      <c r="P205" s="240"/>
      <c r="Q205" s="240"/>
      <c r="R205" s="240"/>
      <c r="T205" s="239"/>
      <c r="U205" s="239"/>
      <c r="V205" s="235"/>
    </row>
    <row r="206" spans="2:22" s="18" customFormat="1" ht="12.75">
      <c r="B206" s="237"/>
      <c r="C206" s="238"/>
      <c r="D206" s="239"/>
      <c r="K206" s="237"/>
      <c r="L206" s="237"/>
      <c r="M206" s="237"/>
      <c r="N206" s="237"/>
      <c r="O206" s="240"/>
      <c r="P206" s="240"/>
      <c r="Q206" s="240"/>
      <c r="R206" s="240"/>
      <c r="T206" s="239"/>
      <c r="U206" s="239"/>
      <c r="V206" s="235"/>
    </row>
    <row r="207" spans="2:22" s="18" customFormat="1" ht="12.75">
      <c r="B207" s="237"/>
      <c r="C207" s="238"/>
      <c r="D207" s="239"/>
      <c r="K207" s="237"/>
      <c r="L207" s="237"/>
      <c r="M207" s="237"/>
      <c r="N207" s="237"/>
      <c r="O207" s="240"/>
      <c r="P207" s="240"/>
      <c r="Q207" s="240"/>
      <c r="R207" s="240"/>
      <c r="T207" s="239"/>
      <c r="U207" s="239"/>
      <c r="V207" s="235"/>
    </row>
    <row r="208" spans="2:22" s="18" customFormat="1" ht="12.75">
      <c r="B208" s="237"/>
      <c r="C208" s="238"/>
      <c r="D208" s="239"/>
      <c r="K208" s="237"/>
      <c r="L208" s="237"/>
      <c r="M208" s="237"/>
      <c r="N208" s="237"/>
      <c r="O208" s="240"/>
      <c r="P208" s="240"/>
      <c r="Q208" s="240"/>
      <c r="R208" s="240"/>
      <c r="T208" s="239"/>
      <c r="U208" s="239"/>
      <c r="V208" s="235"/>
    </row>
    <row r="209" spans="2:22" s="18" customFormat="1" ht="12.75">
      <c r="B209" s="237"/>
      <c r="C209" s="238"/>
      <c r="D209" s="239"/>
      <c r="K209" s="237"/>
      <c r="L209" s="237"/>
      <c r="M209" s="237"/>
      <c r="N209" s="237"/>
      <c r="O209" s="240"/>
      <c r="P209" s="240"/>
      <c r="Q209" s="240"/>
      <c r="R209" s="240"/>
      <c r="T209" s="239"/>
      <c r="U209" s="239"/>
      <c r="V209" s="235"/>
    </row>
    <row r="210" spans="2:22" s="18" customFormat="1" ht="12.75">
      <c r="B210" s="237"/>
      <c r="C210" s="238"/>
      <c r="D210" s="239"/>
      <c r="K210" s="237"/>
      <c r="L210" s="237"/>
      <c r="M210" s="237"/>
      <c r="N210" s="237"/>
      <c r="O210" s="240"/>
      <c r="P210" s="240"/>
      <c r="Q210" s="240"/>
      <c r="R210" s="240"/>
      <c r="T210" s="239"/>
      <c r="U210" s="239"/>
      <c r="V210" s="235"/>
    </row>
    <row r="211" spans="2:22" s="18" customFormat="1" ht="12.75">
      <c r="B211" s="237"/>
      <c r="C211" s="238"/>
      <c r="D211" s="239"/>
      <c r="K211" s="237"/>
      <c r="L211" s="237"/>
      <c r="M211" s="237"/>
      <c r="N211" s="237"/>
      <c r="O211" s="240"/>
      <c r="P211" s="240"/>
      <c r="Q211" s="240"/>
      <c r="R211" s="240"/>
      <c r="T211" s="239"/>
      <c r="U211" s="239"/>
      <c r="V211" s="235"/>
    </row>
    <row r="212" spans="2:22" s="18" customFormat="1" ht="12.75">
      <c r="B212" s="237"/>
      <c r="C212" s="238"/>
      <c r="D212" s="239"/>
      <c r="K212" s="237"/>
      <c r="L212" s="237"/>
      <c r="M212" s="237"/>
      <c r="N212" s="237"/>
      <c r="O212" s="240"/>
      <c r="P212" s="240"/>
      <c r="Q212" s="240"/>
      <c r="R212" s="240"/>
      <c r="T212" s="239"/>
      <c r="U212" s="239"/>
      <c r="V212" s="235"/>
    </row>
    <row r="213" spans="2:22" s="18" customFormat="1" ht="12.75">
      <c r="B213" s="237"/>
      <c r="C213" s="238"/>
      <c r="D213" s="239"/>
      <c r="K213" s="237"/>
      <c r="L213" s="237"/>
      <c r="M213" s="237"/>
      <c r="N213" s="237"/>
      <c r="O213" s="240"/>
      <c r="P213" s="240"/>
      <c r="Q213" s="240"/>
      <c r="R213" s="240"/>
      <c r="T213" s="239"/>
      <c r="U213" s="239"/>
      <c r="V213" s="235"/>
    </row>
    <row r="214" spans="2:22" s="18" customFormat="1" ht="12.75">
      <c r="B214" s="237"/>
      <c r="C214" s="238"/>
      <c r="D214" s="239"/>
      <c r="K214" s="237"/>
      <c r="L214" s="237"/>
      <c r="M214" s="237"/>
      <c r="N214" s="237"/>
      <c r="O214" s="240"/>
      <c r="P214" s="240"/>
      <c r="Q214" s="240"/>
      <c r="R214" s="240"/>
      <c r="T214" s="239"/>
      <c r="U214" s="239"/>
      <c r="V214" s="235"/>
    </row>
    <row r="215" spans="2:22" s="18" customFormat="1" ht="12.75">
      <c r="B215" s="237"/>
      <c r="C215" s="238"/>
      <c r="D215" s="239"/>
      <c r="K215" s="237"/>
      <c r="L215" s="237"/>
      <c r="M215" s="237"/>
      <c r="N215" s="237"/>
      <c r="O215" s="240"/>
      <c r="P215" s="240"/>
      <c r="Q215" s="240"/>
      <c r="R215" s="240"/>
      <c r="T215" s="239"/>
      <c r="U215" s="239"/>
      <c r="V215" s="235"/>
    </row>
    <row r="216" spans="2:22" s="18" customFormat="1" ht="12.75">
      <c r="B216" s="237"/>
      <c r="C216" s="238"/>
      <c r="D216" s="239"/>
      <c r="K216" s="237"/>
      <c r="L216" s="237"/>
      <c r="M216" s="237"/>
      <c r="N216" s="237"/>
      <c r="O216" s="240"/>
      <c r="P216" s="240"/>
      <c r="Q216" s="240"/>
      <c r="R216" s="240"/>
      <c r="T216" s="239"/>
      <c r="U216" s="239"/>
      <c r="V216" s="235"/>
    </row>
    <row r="217" spans="2:22" s="18" customFormat="1" ht="12.75">
      <c r="B217" s="237"/>
      <c r="C217" s="238"/>
      <c r="D217" s="239"/>
      <c r="K217" s="237"/>
      <c r="L217" s="237"/>
      <c r="M217" s="237"/>
      <c r="N217" s="237"/>
      <c r="O217" s="240"/>
      <c r="P217" s="240"/>
      <c r="Q217" s="240"/>
      <c r="R217" s="240"/>
      <c r="T217" s="239"/>
      <c r="U217" s="239"/>
      <c r="V217" s="235"/>
    </row>
    <row r="218" spans="2:22" s="18" customFormat="1" ht="12.75">
      <c r="B218" s="237"/>
      <c r="C218" s="238"/>
      <c r="D218" s="239"/>
      <c r="K218" s="237"/>
      <c r="L218" s="237"/>
      <c r="M218" s="237"/>
      <c r="N218" s="237"/>
      <c r="O218" s="240"/>
      <c r="P218" s="240"/>
      <c r="Q218" s="240"/>
      <c r="R218" s="240"/>
      <c r="T218" s="239"/>
      <c r="U218" s="239"/>
      <c r="V218" s="235"/>
    </row>
    <row r="219" spans="2:22" s="18" customFormat="1" ht="12.75">
      <c r="B219" s="237"/>
      <c r="C219" s="238"/>
      <c r="D219" s="239"/>
      <c r="K219" s="237"/>
      <c r="L219" s="237"/>
      <c r="M219" s="237"/>
      <c r="N219" s="237"/>
      <c r="O219" s="240"/>
      <c r="P219" s="240"/>
      <c r="Q219" s="240"/>
      <c r="R219" s="240"/>
      <c r="T219" s="239"/>
      <c r="U219" s="239"/>
      <c r="V219" s="235"/>
    </row>
    <row r="220" spans="2:22" s="18" customFormat="1" ht="12.75">
      <c r="B220" s="237"/>
      <c r="C220" s="238"/>
      <c r="D220" s="239"/>
      <c r="K220" s="237"/>
      <c r="L220" s="237"/>
      <c r="M220" s="237"/>
      <c r="N220" s="237"/>
      <c r="O220" s="240"/>
      <c r="P220" s="240"/>
      <c r="Q220" s="240"/>
      <c r="R220" s="240"/>
      <c r="T220" s="239"/>
      <c r="U220" s="239"/>
      <c r="V220" s="235"/>
    </row>
    <row r="221" spans="2:22" s="18" customFormat="1" ht="12.75">
      <c r="B221" s="237"/>
      <c r="C221" s="238"/>
      <c r="D221" s="239"/>
      <c r="K221" s="237"/>
      <c r="L221" s="237"/>
      <c r="M221" s="237"/>
      <c r="N221" s="237"/>
      <c r="O221" s="240"/>
      <c r="P221" s="240"/>
      <c r="Q221" s="240"/>
      <c r="R221" s="240"/>
      <c r="T221" s="239"/>
      <c r="U221" s="239"/>
      <c r="V221" s="235"/>
    </row>
    <row r="222" spans="2:22" s="18" customFormat="1" ht="12.75">
      <c r="B222" s="237"/>
      <c r="C222" s="238"/>
      <c r="D222" s="239"/>
      <c r="K222" s="237"/>
      <c r="L222" s="237"/>
      <c r="M222" s="237"/>
      <c r="N222" s="237"/>
      <c r="O222" s="240"/>
      <c r="P222" s="240"/>
      <c r="Q222" s="240"/>
      <c r="R222" s="240"/>
      <c r="T222" s="239"/>
      <c r="U222" s="239"/>
      <c r="V222" s="235"/>
    </row>
    <row r="223" spans="2:22" s="18" customFormat="1" ht="12.75">
      <c r="B223" s="237"/>
      <c r="C223" s="238"/>
      <c r="D223" s="239"/>
      <c r="K223" s="237"/>
      <c r="L223" s="237"/>
      <c r="M223" s="237"/>
      <c r="N223" s="237"/>
      <c r="O223" s="240"/>
      <c r="P223" s="240"/>
      <c r="Q223" s="240"/>
      <c r="R223" s="240"/>
      <c r="T223" s="239"/>
      <c r="U223" s="239"/>
      <c r="V223" s="235"/>
    </row>
    <row r="224" spans="2:22" s="18" customFormat="1" ht="12.75">
      <c r="B224" s="237"/>
      <c r="C224" s="238"/>
      <c r="D224" s="239"/>
      <c r="K224" s="237"/>
      <c r="L224" s="237"/>
      <c r="M224" s="237"/>
      <c r="N224" s="237"/>
      <c r="O224" s="240"/>
      <c r="P224" s="240"/>
      <c r="Q224" s="240"/>
      <c r="R224" s="240"/>
      <c r="T224" s="239"/>
      <c r="U224" s="239"/>
      <c r="V224" s="235"/>
    </row>
    <row r="225" spans="2:22" s="18" customFormat="1" ht="12.75">
      <c r="B225" s="237"/>
      <c r="C225" s="238"/>
      <c r="D225" s="239"/>
      <c r="K225" s="237"/>
      <c r="L225" s="237"/>
      <c r="M225" s="237"/>
      <c r="N225" s="237"/>
      <c r="O225" s="240"/>
      <c r="P225" s="240"/>
      <c r="Q225" s="240"/>
      <c r="R225" s="240"/>
      <c r="T225" s="239"/>
      <c r="U225" s="239"/>
      <c r="V225" s="235"/>
    </row>
    <row r="226" spans="2:22" s="18" customFormat="1" ht="12.75">
      <c r="B226" s="237"/>
      <c r="C226" s="238"/>
      <c r="D226" s="239"/>
      <c r="K226" s="237"/>
      <c r="L226" s="237"/>
      <c r="M226" s="237"/>
      <c r="N226" s="237"/>
      <c r="O226" s="240"/>
      <c r="P226" s="240"/>
      <c r="Q226" s="240"/>
      <c r="R226" s="240"/>
      <c r="T226" s="239"/>
      <c r="U226" s="239"/>
      <c r="V226" s="235"/>
    </row>
    <row r="227" spans="2:22" s="18" customFormat="1" ht="12.75">
      <c r="B227" s="237"/>
      <c r="C227" s="238"/>
      <c r="D227" s="239"/>
      <c r="K227" s="237"/>
      <c r="L227" s="237"/>
      <c r="M227" s="237"/>
      <c r="N227" s="237"/>
      <c r="O227" s="240"/>
      <c r="P227" s="240"/>
      <c r="Q227" s="240"/>
      <c r="R227" s="240"/>
      <c r="T227" s="239"/>
      <c r="U227" s="239"/>
      <c r="V227" s="235"/>
    </row>
    <row r="228" spans="2:22" s="18" customFormat="1" ht="12.75">
      <c r="B228" s="237"/>
      <c r="C228" s="238"/>
      <c r="D228" s="239"/>
      <c r="K228" s="237"/>
      <c r="L228" s="237"/>
      <c r="M228" s="237"/>
      <c r="N228" s="237"/>
      <c r="O228" s="240"/>
      <c r="P228" s="240"/>
      <c r="Q228" s="240"/>
      <c r="R228" s="240"/>
      <c r="T228" s="239"/>
      <c r="U228" s="239"/>
      <c r="V228" s="235"/>
    </row>
    <row r="229" spans="2:22" s="18" customFormat="1" ht="12.75">
      <c r="B229" s="237"/>
      <c r="C229" s="238"/>
      <c r="D229" s="239"/>
      <c r="K229" s="237"/>
      <c r="L229" s="237"/>
      <c r="M229" s="237"/>
      <c r="N229" s="237"/>
      <c r="O229" s="240"/>
      <c r="P229" s="240"/>
      <c r="Q229" s="240"/>
      <c r="R229" s="240"/>
      <c r="T229" s="239"/>
      <c r="U229" s="239"/>
      <c r="V229" s="235"/>
    </row>
    <row r="230" spans="2:22" s="18" customFormat="1" ht="12.75">
      <c r="B230" s="237"/>
      <c r="C230" s="238"/>
      <c r="D230" s="239"/>
      <c r="K230" s="237"/>
      <c r="L230" s="237"/>
      <c r="M230" s="237"/>
      <c r="N230" s="237"/>
      <c r="O230" s="240"/>
      <c r="P230" s="240"/>
      <c r="Q230" s="240"/>
      <c r="R230" s="240"/>
      <c r="T230" s="239"/>
      <c r="U230" s="239"/>
      <c r="V230" s="235"/>
    </row>
    <row r="231" spans="2:22" s="18" customFormat="1" ht="12.75">
      <c r="B231" s="237"/>
      <c r="C231" s="238"/>
      <c r="D231" s="239"/>
      <c r="K231" s="237"/>
      <c r="L231" s="237"/>
      <c r="M231" s="237"/>
      <c r="N231" s="237"/>
      <c r="O231" s="240"/>
      <c r="P231" s="240"/>
      <c r="Q231" s="240"/>
      <c r="R231" s="240"/>
      <c r="T231" s="239"/>
      <c r="U231" s="239"/>
      <c r="V231" s="235"/>
    </row>
    <row r="232" spans="2:22" s="18" customFormat="1" ht="12.75">
      <c r="B232" s="237"/>
      <c r="C232" s="238"/>
      <c r="D232" s="239"/>
      <c r="K232" s="237"/>
      <c r="L232" s="237"/>
      <c r="M232" s="237"/>
      <c r="N232" s="237"/>
      <c r="O232" s="240"/>
      <c r="P232" s="240"/>
      <c r="Q232" s="240"/>
      <c r="R232" s="240"/>
      <c r="T232" s="239"/>
      <c r="U232" s="239"/>
      <c r="V232" s="235"/>
    </row>
    <row r="233" spans="2:22" s="18" customFormat="1" ht="12.75">
      <c r="B233" s="237"/>
      <c r="C233" s="238"/>
      <c r="D233" s="239"/>
      <c r="K233" s="237"/>
      <c r="L233" s="237"/>
      <c r="M233" s="237"/>
      <c r="N233" s="237"/>
      <c r="O233" s="240"/>
      <c r="P233" s="240"/>
      <c r="Q233" s="240"/>
      <c r="R233" s="240"/>
      <c r="T233" s="239"/>
      <c r="U233" s="239"/>
      <c r="V233" s="235"/>
    </row>
    <row r="234" spans="2:22" s="18" customFormat="1" ht="12.75">
      <c r="B234" s="237"/>
      <c r="C234" s="238"/>
      <c r="D234" s="239"/>
      <c r="K234" s="237"/>
      <c r="L234" s="237"/>
      <c r="M234" s="237"/>
      <c r="N234" s="237"/>
      <c r="O234" s="240"/>
      <c r="P234" s="240"/>
      <c r="Q234" s="240"/>
      <c r="R234" s="240"/>
      <c r="T234" s="239"/>
      <c r="U234" s="239"/>
      <c r="V234" s="235"/>
    </row>
    <row r="235" spans="2:22" s="18" customFormat="1" ht="12.75">
      <c r="B235" s="237"/>
      <c r="C235" s="238"/>
      <c r="D235" s="239"/>
      <c r="K235" s="237"/>
      <c r="L235" s="237"/>
      <c r="M235" s="237"/>
      <c r="N235" s="237"/>
      <c r="O235" s="240"/>
      <c r="P235" s="240"/>
      <c r="Q235" s="240"/>
      <c r="R235" s="240"/>
      <c r="T235" s="239"/>
      <c r="U235" s="239"/>
      <c r="V235" s="235"/>
    </row>
    <row r="236" spans="2:22" s="18" customFormat="1" ht="12.75">
      <c r="B236" s="237"/>
      <c r="C236" s="238"/>
      <c r="D236" s="239"/>
      <c r="K236" s="237"/>
      <c r="L236" s="237"/>
      <c r="M236" s="237"/>
      <c r="N236" s="237"/>
      <c r="O236" s="240"/>
      <c r="P236" s="240"/>
      <c r="Q236" s="240"/>
      <c r="R236" s="240"/>
      <c r="T236" s="239"/>
      <c r="U236" s="239"/>
      <c r="V236" s="235"/>
    </row>
    <row r="237" spans="2:22" s="18" customFormat="1" ht="12.75">
      <c r="B237" s="237"/>
      <c r="C237" s="238"/>
      <c r="D237" s="239"/>
      <c r="K237" s="237"/>
      <c r="L237" s="237"/>
      <c r="M237" s="237"/>
      <c r="N237" s="237"/>
      <c r="O237" s="240"/>
      <c r="P237" s="240"/>
      <c r="Q237" s="240"/>
      <c r="R237" s="240"/>
      <c r="T237" s="239"/>
      <c r="U237" s="239"/>
      <c r="V237" s="235"/>
    </row>
    <row r="238" spans="2:22" s="18" customFormat="1" ht="12.75">
      <c r="B238" s="237"/>
      <c r="C238" s="238"/>
      <c r="D238" s="239"/>
      <c r="K238" s="237"/>
      <c r="L238" s="237"/>
      <c r="M238" s="237"/>
      <c r="N238" s="237"/>
      <c r="O238" s="240"/>
      <c r="P238" s="240"/>
      <c r="Q238" s="240"/>
      <c r="R238" s="240"/>
      <c r="T238" s="239"/>
      <c r="U238" s="239"/>
      <c r="V238" s="235"/>
    </row>
    <row r="239" spans="2:22" s="18" customFormat="1" ht="12.75">
      <c r="B239" s="237"/>
      <c r="C239" s="238"/>
      <c r="D239" s="239"/>
      <c r="K239" s="237"/>
      <c r="L239" s="237"/>
      <c r="M239" s="237"/>
      <c r="N239" s="237"/>
      <c r="O239" s="240"/>
      <c r="P239" s="240"/>
      <c r="Q239" s="240"/>
      <c r="R239" s="240"/>
      <c r="T239" s="239"/>
      <c r="U239" s="239"/>
      <c r="V239" s="235"/>
    </row>
    <row r="240" spans="2:22" s="18" customFormat="1" ht="12.75">
      <c r="B240" s="237"/>
      <c r="C240" s="238"/>
      <c r="D240" s="239"/>
      <c r="K240" s="237"/>
      <c r="L240" s="237"/>
      <c r="M240" s="237"/>
      <c r="N240" s="237"/>
      <c r="O240" s="240"/>
      <c r="P240" s="240"/>
      <c r="Q240" s="240"/>
      <c r="R240" s="240"/>
      <c r="T240" s="239"/>
      <c r="U240" s="239"/>
      <c r="V240" s="235"/>
    </row>
    <row r="241" spans="2:22" s="18" customFormat="1" ht="12.75">
      <c r="B241" s="237"/>
      <c r="C241" s="238"/>
      <c r="D241" s="239"/>
      <c r="K241" s="237"/>
      <c r="L241" s="237"/>
      <c r="M241" s="237"/>
      <c r="N241" s="237"/>
      <c r="O241" s="240"/>
      <c r="P241" s="240"/>
      <c r="Q241" s="240"/>
      <c r="R241" s="240"/>
      <c r="T241" s="239"/>
      <c r="U241" s="239"/>
      <c r="V241" s="235"/>
    </row>
    <row r="242" spans="2:22" s="18" customFormat="1" ht="12.75">
      <c r="B242" s="237"/>
      <c r="C242" s="238"/>
      <c r="D242" s="239"/>
      <c r="K242" s="237"/>
      <c r="L242" s="237"/>
      <c r="M242" s="237"/>
      <c r="N242" s="237"/>
      <c r="O242" s="240"/>
      <c r="P242" s="240"/>
      <c r="Q242" s="240"/>
      <c r="R242" s="240"/>
      <c r="T242" s="239"/>
      <c r="U242" s="239"/>
      <c r="V242" s="235"/>
    </row>
    <row r="243" spans="2:22" s="18" customFormat="1" ht="12.75">
      <c r="B243" s="237"/>
      <c r="C243" s="238"/>
      <c r="D243" s="239"/>
      <c r="K243" s="237"/>
      <c r="L243" s="237"/>
      <c r="M243" s="237"/>
      <c r="N243" s="237"/>
      <c r="O243" s="240"/>
      <c r="P243" s="240"/>
      <c r="Q243" s="240"/>
      <c r="R243" s="240"/>
      <c r="T243" s="239"/>
      <c r="U243" s="239"/>
      <c r="V243" s="235"/>
    </row>
    <row r="244" spans="2:22" s="18" customFormat="1" ht="12.75">
      <c r="B244" s="237"/>
      <c r="C244" s="238"/>
      <c r="D244" s="239"/>
      <c r="K244" s="237"/>
      <c r="L244" s="237"/>
      <c r="M244" s="237"/>
      <c r="N244" s="237"/>
      <c r="O244" s="240"/>
      <c r="P244" s="240"/>
      <c r="Q244" s="240"/>
      <c r="R244" s="240"/>
      <c r="T244" s="239"/>
      <c r="U244" s="239"/>
      <c r="V244" s="235"/>
    </row>
    <row r="245" spans="2:22" s="18" customFormat="1" ht="12.75">
      <c r="B245" s="237"/>
      <c r="C245" s="238"/>
      <c r="D245" s="239"/>
      <c r="K245" s="237"/>
      <c r="L245" s="237"/>
      <c r="M245" s="237"/>
      <c r="N245" s="237"/>
      <c r="O245" s="240"/>
      <c r="P245" s="240"/>
      <c r="Q245" s="240"/>
      <c r="R245" s="240"/>
      <c r="T245" s="239"/>
      <c r="U245" s="239"/>
      <c r="V245" s="235"/>
    </row>
    <row r="246" spans="2:22" s="18" customFormat="1" ht="12.75">
      <c r="B246" s="237"/>
      <c r="C246" s="238"/>
      <c r="D246" s="239"/>
      <c r="K246" s="237"/>
      <c r="L246" s="237"/>
      <c r="M246" s="237"/>
      <c r="N246" s="237"/>
      <c r="O246" s="240"/>
      <c r="P246" s="240"/>
      <c r="Q246" s="240"/>
      <c r="R246" s="240"/>
      <c r="T246" s="239"/>
      <c r="U246" s="239"/>
      <c r="V246" s="235"/>
    </row>
    <row r="247" spans="2:22" s="18" customFormat="1" ht="12.75">
      <c r="B247" s="237"/>
      <c r="C247" s="238"/>
      <c r="D247" s="239"/>
      <c r="K247" s="237"/>
      <c r="L247" s="237"/>
      <c r="M247" s="237"/>
      <c r="N247" s="237"/>
      <c r="O247" s="240"/>
      <c r="P247" s="240"/>
      <c r="Q247" s="240"/>
      <c r="R247" s="240"/>
      <c r="T247" s="239"/>
      <c r="U247" s="239"/>
      <c r="V247" s="235"/>
    </row>
    <row r="248" spans="2:22" s="18" customFormat="1" ht="12.75">
      <c r="B248" s="237"/>
      <c r="C248" s="238"/>
      <c r="D248" s="239"/>
      <c r="K248" s="237"/>
      <c r="L248" s="237"/>
      <c r="M248" s="237"/>
      <c r="N248" s="237"/>
      <c r="O248" s="240"/>
      <c r="P248" s="240"/>
      <c r="Q248" s="240"/>
      <c r="R248" s="240"/>
      <c r="T248" s="239"/>
      <c r="U248" s="239"/>
      <c r="V248" s="235"/>
    </row>
    <row r="249" spans="2:22" s="18" customFormat="1" ht="12.75">
      <c r="B249" s="237"/>
      <c r="C249" s="238"/>
      <c r="D249" s="239"/>
      <c r="K249" s="237"/>
      <c r="L249" s="237"/>
      <c r="M249" s="237"/>
      <c r="N249" s="237"/>
      <c r="O249" s="240"/>
      <c r="P249" s="240"/>
      <c r="Q249" s="240"/>
      <c r="R249" s="240"/>
      <c r="T249" s="239"/>
      <c r="U249" s="239"/>
      <c r="V249" s="235"/>
    </row>
    <row r="250" spans="2:22" s="18" customFormat="1" ht="12.75">
      <c r="B250" s="237"/>
      <c r="C250" s="238"/>
      <c r="D250" s="239"/>
      <c r="K250" s="237"/>
      <c r="L250" s="237"/>
      <c r="M250" s="237"/>
      <c r="N250" s="237"/>
      <c r="O250" s="240"/>
      <c r="P250" s="240"/>
      <c r="Q250" s="240"/>
      <c r="R250" s="240"/>
      <c r="T250" s="239"/>
      <c r="U250" s="239"/>
      <c r="V250" s="235"/>
    </row>
    <row r="251" spans="2:22" s="18" customFormat="1" ht="12.75">
      <c r="B251" s="237"/>
      <c r="C251" s="238"/>
      <c r="D251" s="239"/>
      <c r="K251" s="237"/>
      <c r="L251" s="237"/>
      <c r="M251" s="237"/>
      <c r="N251" s="237"/>
      <c r="O251" s="240"/>
      <c r="P251" s="240"/>
      <c r="Q251" s="240"/>
      <c r="R251" s="240"/>
      <c r="T251" s="239"/>
      <c r="U251" s="239"/>
      <c r="V251" s="235"/>
    </row>
    <row r="252" spans="2:22" s="18" customFormat="1" ht="12.75">
      <c r="B252" s="237"/>
      <c r="C252" s="238"/>
      <c r="D252" s="239"/>
      <c r="K252" s="237"/>
      <c r="L252" s="237"/>
      <c r="M252" s="237"/>
      <c r="N252" s="237"/>
      <c r="O252" s="240"/>
      <c r="P252" s="240"/>
      <c r="Q252" s="240"/>
      <c r="R252" s="240"/>
      <c r="T252" s="239"/>
      <c r="U252" s="239"/>
      <c r="V252" s="235"/>
    </row>
    <row r="253" spans="2:22" s="18" customFormat="1" ht="12.75">
      <c r="B253" s="237"/>
      <c r="C253" s="238"/>
      <c r="D253" s="239"/>
      <c r="K253" s="237"/>
      <c r="L253" s="237"/>
      <c r="M253" s="237"/>
      <c r="N253" s="237"/>
      <c r="O253" s="240"/>
      <c r="P253" s="240"/>
      <c r="Q253" s="240"/>
      <c r="R253" s="240"/>
      <c r="T253" s="239"/>
      <c r="U253" s="239"/>
      <c r="V253" s="235"/>
    </row>
    <row r="254" spans="2:22" s="18" customFormat="1" ht="12.75">
      <c r="B254" s="237"/>
      <c r="C254" s="238"/>
      <c r="D254" s="239"/>
      <c r="K254" s="237"/>
      <c r="L254" s="237"/>
      <c r="M254" s="237"/>
      <c r="N254" s="237"/>
      <c r="O254" s="240"/>
      <c r="P254" s="240"/>
      <c r="Q254" s="240"/>
      <c r="R254" s="240"/>
      <c r="T254" s="239"/>
      <c r="U254" s="239"/>
      <c r="V254" s="235"/>
    </row>
    <row r="255" spans="2:22" s="18" customFormat="1" ht="12.75">
      <c r="B255" s="237"/>
      <c r="C255" s="238"/>
      <c r="D255" s="239"/>
      <c r="K255" s="237"/>
      <c r="L255" s="237"/>
      <c r="M255" s="237"/>
      <c r="N255" s="237"/>
      <c r="O255" s="240"/>
      <c r="P255" s="240"/>
      <c r="Q255" s="240"/>
      <c r="R255" s="240"/>
      <c r="T255" s="239"/>
      <c r="U255" s="239"/>
      <c r="V255" s="235"/>
    </row>
    <row r="256" spans="2:22" s="18" customFormat="1" ht="12.75">
      <c r="B256" s="237"/>
      <c r="C256" s="238"/>
      <c r="D256" s="239"/>
      <c r="K256" s="237"/>
      <c r="L256" s="237"/>
      <c r="M256" s="237"/>
      <c r="N256" s="237"/>
      <c r="O256" s="240"/>
      <c r="P256" s="240"/>
      <c r="Q256" s="240"/>
      <c r="R256" s="240"/>
      <c r="T256" s="239"/>
      <c r="U256" s="239"/>
      <c r="V256" s="235"/>
    </row>
    <row r="257" spans="2:22" s="18" customFormat="1" ht="12.75">
      <c r="B257" s="237"/>
      <c r="C257" s="238"/>
      <c r="D257" s="239"/>
      <c r="K257" s="237"/>
      <c r="L257" s="237"/>
      <c r="M257" s="237"/>
      <c r="N257" s="237"/>
      <c r="O257" s="240"/>
      <c r="P257" s="240"/>
      <c r="Q257" s="240"/>
      <c r="R257" s="240"/>
      <c r="T257" s="239"/>
      <c r="U257" s="239"/>
      <c r="V257" s="235"/>
    </row>
    <row r="258" spans="2:22" s="18" customFormat="1" ht="12.75">
      <c r="B258" s="237"/>
      <c r="C258" s="238"/>
      <c r="D258" s="239"/>
      <c r="K258" s="237"/>
      <c r="L258" s="237"/>
      <c r="M258" s="237"/>
      <c r="N258" s="237"/>
      <c r="O258" s="240"/>
      <c r="P258" s="240"/>
      <c r="Q258" s="240"/>
      <c r="R258" s="240"/>
      <c r="T258" s="239"/>
      <c r="U258" s="239"/>
      <c r="V258" s="235"/>
    </row>
    <row r="259" spans="2:22" s="18" customFormat="1" ht="12.75">
      <c r="B259" s="237"/>
      <c r="C259" s="238"/>
      <c r="D259" s="239"/>
      <c r="K259" s="237"/>
      <c r="L259" s="237"/>
      <c r="M259" s="237"/>
      <c r="N259" s="237"/>
      <c r="O259" s="240"/>
      <c r="P259" s="240"/>
      <c r="Q259" s="240"/>
      <c r="R259" s="240"/>
      <c r="T259" s="239"/>
      <c r="U259" s="239"/>
      <c r="V259" s="235"/>
    </row>
    <row r="260" spans="2:22" s="18" customFormat="1" ht="12.75">
      <c r="B260" s="237"/>
      <c r="C260" s="238"/>
      <c r="D260" s="239"/>
      <c r="K260" s="237"/>
      <c r="L260" s="237"/>
      <c r="M260" s="237"/>
      <c r="N260" s="237"/>
      <c r="O260" s="240"/>
      <c r="P260" s="240"/>
      <c r="Q260" s="240"/>
      <c r="R260" s="240"/>
      <c r="T260" s="239"/>
      <c r="U260" s="239"/>
      <c r="V260" s="235"/>
    </row>
    <row r="261" spans="2:22" s="18" customFormat="1" ht="12.75">
      <c r="B261" s="237"/>
      <c r="C261" s="238"/>
      <c r="D261" s="239"/>
      <c r="K261" s="237"/>
      <c r="L261" s="237"/>
      <c r="M261" s="237"/>
      <c r="N261" s="237"/>
      <c r="O261" s="240"/>
      <c r="P261" s="240"/>
      <c r="Q261" s="240"/>
      <c r="R261" s="240"/>
      <c r="T261" s="239"/>
      <c r="U261" s="239"/>
      <c r="V261" s="235"/>
    </row>
    <row r="262" spans="2:22" s="18" customFormat="1" ht="12.75">
      <c r="B262" s="237"/>
      <c r="C262" s="238"/>
      <c r="D262" s="239"/>
      <c r="K262" s="237"/>
      <c r="L262" s="237"/>
      <c r="M262" s="237"/>
      <c r="N262" s="237"/>
      <c r="O262" s="240"/>
      <c r="P262" s="240"/>
      <c r="Q262" s="240"/>
      <c r="R262" s="240"/>
      <c r="T262" s="239"/>
      <c r="U262" s="239"/>
      <c r="V262" s="235"/>
    </row>
    <row r="263" spans="2:22" s="18" customFormat="1" ht="12.75">
      <c r="B263" s="237"/>
      <c r="C263" s="238"/>
      <c r="D263" s="239"/>
      <c r="K263" s="237"/>
      <c r="L263" s="237"/>
      <c r="M263" s="237"/>
      <c r="N263" s="237"/>
      <c r="O263" s="240"/>
      <c r="P263" s="240"/>
      <c r="Q263" s="240"/>
      <c r="R263" s="240"/>
      <c r="T263" s="239"/>
      <c r="U263" s="239"/>
      <c r="V263" s="235"/>
    </row>
    <row r="264" spans="2:22" s="18" customFormat="1" ht="12.75">
      <c r="B264" s="237"/>
      <c r="C264" s="238"/>
      <c r="D264" s="239"/>
      <c r="K264" s="237"/>
      <c r="L264" s="237"/>
      <c r="M264" s="237"/>
      <c r="N264" s="237"/>
      <c r="O264" s="240"/>
      <c r="P264" s="240"/>
      <c r="Q264" s="240"/>
      <c r="R264" s="240"/>
      <c r="T264" s="239"/>
      <c r="U264" s="239"/>
      <c r="V264" s="235"/>
    </row>
    <row r="265" spans="2:22" s="18" customFormat="1" ht="12.75">
      <c r="B265" s="237"/>
      <c r="C265" s="238"/>
      <c r="D265" s="239"/>
      <c r="K265" s="237"/>
      <c r="L265" s="237"/>
      <c r="M265" s="237"/>
      <c r="N265" s="237"/>
      <c r="O265" s="240"/>
      <c r="P265" s="240"/>
      <c r="Q265" s="240"/>
      <c r="R265" s="240"/>
      <c r="T265" s="239"/>
      <c r="U265" s="239"/>
      <c r="V265" s="235"/>
    </row>
    <row r="266" spans="2:22" s="18" customFormat="1" ht="12.75">
      <c r="B266" s="237"/>
      <c r="C266" s="238"/>
      <c r="D266" s="239"/>
      <c r="K266" s="237"/>
      <c r="L266" s="237"/>
      <c r="M266" s="237"/>
      <c r="N266" s="237"/>
      <c r="O266" s="240"/>
      <c r="P266" s="240"/>
      <c r="Q266" s="240"/>
      <c r="R266" s="240"/>
      <c r="T266" s="239"/>
      <c r="U266" s="239"/>
      <c r="V266" s="235"/>
    </row>
    <row r="267" spans="2:22" s="18" customFormat="1" ht="12.75">
      <c r="B267" s="237"/>
      <c r="C267" s="238"/>
      <c r="D267" s="239"/>
      <c r="K267" s="237"/>
      <c r="L267" s="237"/>
      <c r="M267" s="237"/>
      <c r="N267" s="237"/>
      <c r="O267" s="240"/>
      <c r="P267" s="240"/>
      <c r="Q267" s="240"/>
      <c r="R267" s="240"/>
      <c r="T267" s="239"/>
      <c r="U267" s="239"/>
      <c r="V267" s="235"/>
    </row>
    <row r="268" spans="2:22" s="18" customFormat="1" ht="12.75">
      <c r="B268" s="237"/>
      <c r="C268" s="238"/>
      <c r="D268" s="239"/>
      <c r="K268" s="237"/>
      <c r="L268" s="237"/>
      <c r="M268" s="237"/>
      <c r="N268" s="237"/>
      <c r="O268" s="240"/>
      <c r="P268" s="240"/>
      <c r="Q268" s="240"/>
      <c r="R268" s="240"/>
      <c r="T268" s="239"/>
      <c r="U268" s="239"/>
      <c r="V268" s="235"/>
    </row>
    <row r="269" spans="2:22" s="18" customFormat="1" ht="12.75">
      <c r="B269" s="237"/>
      <c r="C269" s="238"/>
      <c r="D269" s="239"/>
      <c r="K269" s="237"/>
      <c r="L269" s="237"/>
      <c r="M269" s="237"/>
      <c r="N269" s="237"/>
      <c r="O269" s="240"/>
      <c r="P269" s="240"/>
      <c r="Q269" s="240"/>
      <c r="R269" s="240"/>
      <c r="T269" s="239"/>
      <c r="U269" s="239"/>
      <c r="V269" s="235"/>
    </row>
    <row r="270" spans="2:22" s="18" customFormat="1" ht="12.75">
      <c r="B270" s="237"/>
      <c r="C270" s="238"/>
      <c r="D270" s="239"/>
      <c r="K270" s="237"/>
      <c r="L270" s="237"/>
      <c r="M270" s="237"/>
      <c r="N270" s="237"/>
      <c r="O270" s="240"/>
      <c r="P270" s="240"/>
      <c r="Q270" s="240"/>
      <c r="R270" s="240"/>
      <c r="T270" s="239"/>
      <c r="U270" s="239"/>
      <c r="V270" s="235"/>
    </row>
    <row r="271" spans="2:22" s="18" customFormat="1" ht="12.75">
      <c r="B271" s="237"/>
      <c r="C271" s="238"/>
      <c r="D271" s="239"/>
      <c r="K271" s="237"/>
      <c r="L271" s="237"/>
      <c r="M271" s="237"/>
      <c r="N271" s="237"/>
      <c r="O271" s="240"/>
      <c r="P271" s="240"/>
      <c r="Q271" s="240"/>
      <c r="R271" s="240"/>
      <c r="T271" s="239"/>
      <c r="U271" s="239"/>
      <c r="V271" s="235"/>
    </row>
    <row r="272" spans="2:22" s="18" customFormat="1" ht="12.75">
      <c r="B272" s="237"/>
      <c r="C272" s="238"/>
      <c r="D272" s="239"/>
      <c r="K272" s="237"/>
      <c r="L272" s="237"/>
      <c r="M272" s="237"/>
      <c r="N272" s="237"/>
      <c r="O272" s="240"/>
      <c r="P272" s="240"/>
      <c r="Q272" s="240"/>
      <c r="R272" s="240"/>
      <c r="T272" s="239"/>
      <c r="U272" s="239"/>
      <c r="V272" s="235"/>
    </row>
    <row r="273" spans="2:22" s="18" customFormat="1" ht="12.75">
      <c r="B273" s="237"/>
      <c r="C273" s="238"/>
      <c r="D273" s="239"/>
      <c r="K273" s="237"/>
      <c r="L273" s="237"/>
      <c r="M273" s="237"/>
      <c r="N273" s="237"/>
      <c r="O273" s="240"/>
      <c r="P273" s="240"/>
      <c r="Q273" s="240"/>
      <c r="R273" s="240"/>
      <c r="T273" s="239"/>
      <c r="U273" s="239"/>
      <c r="V273" s="235"/>
    </row>
    <row r="274" spans="2:22" s="18" customFormat="1" ht="12.75">
      <c r="B274" s="237"/>
      <c r="C274" s="238"/>
      <c r="D274" s="239"/>
      <c r="K274" s="237"/>
      <c r="L274" s="237"/>
      <c r="M274" s="237"/>
      <c r="N274" s="237"/>
      <c r="O274" s="240"/>
      <c r="P274" s="240"/>
      <c r="Q274" s="240"/>
      <c r="R274" s="240"/>
      <c r="T274" s="239"/>
      <c r="U274" s="239"/>
      <c r="V274" s="235"/>
    </row>
    <row r="275" spans="2:22" s="18" customFormat="1" ht="12.75">
      <c r="B275" s="237"/>
      <c r="C275" s="238"/>
      <c r="D275" s="239"/>
      <c r="K275" s="237"/>
      <c r="L275" s="237"/>
      <c r="M275" s="237"/>
      <c r="N275" s="237"/>
      <c r="O275" s="240"/>
      <c r="P275" s="240"/>
      <c r="Q275" s="240"/>
      <c r="R275" s="240"/>
      <c r="T275" s="239"/>
      <c r="U275" s="239"/>
      <c r="V275" s="235"/>
    </row>
    <row r="276" spans="2:22" s="18" customFormat="1" ht="12.75">
      <c r="B276" s="237"/>
      <c r="C276" s="238"/>
      <c r="D276" s="239"/>
      <c r="K276" s="237"/>
      <c r="L276" s="237"/>
      <c r="M276" s="237"/>
      <c r="N276" s="237"/>
      <c r="O276" s="240"/>
      <c r="P276" s="240"/>
      <c r="Q276" s="240"/>
      <c r="R276" s="240"/>
      <c r="T276" s="239"/>
      <c r="U276" s="239"/>
      <c r="V276" s="235"/>
    </row>
    <row r="277" spans="2:22" s="18" customFormat="1" ht="12.75">
      <c r="B277" s="237"/>
      <c r="C277" s="238"/>
      <c r="D277" s="239"/>
      <c r="K277" s="237"/>
      <c r="L277" s="237"/>
      <c r="M277" s="237"/>
      <c r="N277" s="237"/>
      <c r="O277" s="240"/>
      <c r="P277" s="240"/>
      <c r="Q277" s="240"/>
      <c r="R277" s="240"/>
      <c r="T277" s="239"/>
      <c r="U277" s="239"/>
      <c r="V277" s="235"/>
    </row>
    <row r="278" spans="2:22" s="18" customFormat="1" ht="12.75">
      <c r="B278" s="237"/>
      <c r="C278" s="238"/>
      <c r="D278" s="239"/>
      <c r="K278" s="237"/>
      <c r="L278" s="237"/>
      <c r="M278" s="237"/>
      <c r="N278" s="237"/>
      <c r="O278" s="240"/>
      <c r="P278" s="240"/>
      <c r="Q278" s="240"/>
      <c r="R278" s="240"/>
      <c r="T278" s="239"/>
      <c r="U278" s="239"/>
      <c r="V278" s="235"/>
    </row>
    <row r="279" spans="2:22" s="18" customFormat="1" ht="12.75">
      <c r="B279" s="237"/>
      <c r="C279" s="238"/>
      <c r="D279" s="239"/>
      <c r="K279" s="237"/>
      <c r="L279" s="237"/>
      <c r="M279" s="237"/>
      <c r="N279" s="237"/>
      <c r="O279" s="240"/>
      <c r="P279" s="240"/>
      <c r="Q279" s="240"/>
      <c r="R279" s="240"/>
      <c r="T279" s="239"/>
      <c r="U279" s="239"/>
      <c r="V279" s="235"/>
    </row>
    <row r="280" spans="2:22" s="18" customFormat="1" ht="12.75">
      <c r="B280" s="237"/>
      <c r="C280" s="238"/>
      <c r="D280" s="239"/>
      <c r="K280" s="237"/>
      <c r="L280" s="237"/>
      <c r="M280" s="237"/>
      <c r="N280" s="237"/>
      <c r="O280" s="240"/>
      <c r="P280" s="240"/>
      <c r="Q280" s="240"/>
      <c r="R280" s="240"/>
      <c r="T280" s="239"/>
      <c r="U280" s="239"/>
      <c r="V280" s="235"/>
    </row>
    <row r="281" spans="2:22" s="18" customFormat="1" ht="12.75">
      <c r="B281" s="237"/>
      <c r="C281" s="238"/>
      <c r="D281" s="239"/>
      <c r="K281" s="237"/>
      <c r="L281" s="237"/>
      <c r="M281" s="237"/>
      <c r="N281" s="237"/>
      <c r="O281" s="240"/>
      <c r="P281" s="240"/>
      <c r="Q281" s="240"/>
      <c r="R281" s="240"/>
      <c r="T281" s="239"/>
      <c r="U281" s="239"/>
      <c r="V281" s="235"/>
    </row>
    <row r="282" spans="2:22" s="18" customFormat="1" ht="12.75">
      <c r="B282" s="237"/>
      <c r="C282" s="238"/>
      <c r="D282" s="239"/>
      <c r="K282" s="237"/>
      <c r="L282" s="237"/>
      <c r="M282" s="237"/>
      <c r="N282" s="237"/>
      <c r="O282" s="240"/>
      <c r="P282" s="240"/>
      <c r="Q282" s="240"/>
      <c r="R282" s="240"/>
      <c r="T282" s="239"/>
      <c r="U282" s="239"/>
      <c r="V282" s="235"/>
    </row>
    <row r="283" spans="2:22" s="18" customFormat="1" ht="12.75">
      <c r="B283" s="237"/>
      <c r="C283" s="238"/>
      <c r="D283" s="239"/>
      <c r="K283" s="237"/>
      <c r="L283" s="237"/>
      <c r="M283" s="237"/>
      <c r="N283" s="237"/>
      <c r="O283" s="240"/>
      <c r="P283" s="240"/>
      <c r="Q283" s="240"/>
      <c r="R283" s="240"/>
      <c r="T283" s="239"/>
      <c r="U283" s="239"/>
      <c r="V283" s="235"/>
    </row>
    <row r="284" spans="2:22" s="18" customFormat="1" ht="12.75">
      <c r="B284" s="237"/>
      <c r="C284" s="238"/>
      <c r="D284" s="239"/>
      <c r="K284" s="237"/>
      <c r="L284" s="237"/>
      <c r="M284" s="237"/>
      <c r="N284" s="237"/>
      <c r="O284" s="240"/>
      <c r="P284" s="240"/>
      <c r="Q284" s="240"/>
      <c r="R284" s="240"/>
      <c r="T284" s="239"/>
      <c r="U284" s="239"/>
      <c r="V284" s="235"/>
    </row>
    <row r="285" spans="2:22" s="18" customFormat="1" ht="12.75">
      <c r="B285" s="237"/>
      <c r="C285" s="238"/>
      <c r="D285" s="239"/>
      <c r="K285" s="237"/>
      <c r="L285" s="237"/>
      <c r="M285" s="237"/>
      <c r="N285" s="237"/>
      <c r="O285" s="240"/>
      <c r="P285" s="240"/>
      <c r="Q285" s="240"/>
      <c r="R285" s="240"/>
      <c r="T285" s="239"/>
      <c r="U285" s="239"/>
      <c r="V285" s="235"/>
    </row>
    <row r="286" spans="2:22" s="18" customFormat="1" ht="12.75">
      <c r="B286" s="237"/>
      <c r="C286" s="238"/>
      <c r="D286" s="239"/>
      <c r="K286" s="237"/>
      <c r="L286" s="237"/>
      <c r="M286" s="237"/>
      <c r="N286" s="237"/>
      <c r="O286" s="240"/>
      <c r="P286" s="240"/>
      <c r="Q286" s="240"/>
      <c r="R286" s="240"/>
      <c r="T286" s="239"/>
      <c r="U286" s="239"/>
      <c r="V286" s="235"/>
    </row>
    <row r="287" spans="2:22" s="18" customFormat="1" ht="12.75">
      <c r="B287" s="237"/>
      <c r="C287" s="238"/>
      <c r="D287" s="239"/>
      <c r="K287" s="237"/>
      <c r="L287" s="237"/>
      <c r="M287" s="237"/>
      <c r="N287" s="237"/>
      <c r="O287" s="240"/>
      <c r="P287" s="240"/>
      <c r="Q287" s="240"/>
      <c r="R287" s="240"/>
      <c r="T287" s="239"/>
      <c r="U287" s="239"/>
      <c r="V287" s="235"/>
    </row>
    <row r="288" spans="2:22" s="18" customFormat="1" ht="12.75">
      <c r="B288" s="237"/>
      <c r="C288" s="238"/>
      <c r="D288" s="239"/>
      <c r="K288" s="237"/>
      <c r="L288" s="237"/>
      <c r="M288" s="237"/>
      <c r="N288" s="237"/>
      <c r="O288" s="240"/>
      <c r="P288" s="240"/>
      <c r="Q288" s="240"/>
      <c r="R288" s="240"/>
      <c r="T288" s="239"/>
      <c r="U288" s="239"/>
      <c r="V288" s="235"/>
    </row>
    <row r="289" spans="2:22" s="18" customFormat="1" ht="12.75">
      <c r="B289" s="237"/>
      <c r="C289" s="238"/>
      <c r="D289" s="239"/>
      <c r="K289" s="237"/>
      <c r="L289" s="237"/>
      <c r="M289" s="237"/>
      <c r="N289" s="237"/>
      <c r="O289" s="240"/>
      <c r="P289" s="240"/>
      <c r="Q289" s="240"/>
      <c r="R289" s="240"/>
      <c r="T289" s="239"/>
      <c r="U289" s="239"/>
      <c r="V289" s="235"/>
    </row>
    <row r="290" spans="2:22" s="18" customFormat="1" ht="12.75">
      <c r="B290" s="237"/>
      <c r="C290" s="238"/>
      <c r="D290" s="239"/>
      <c r="K290" s="237"/>
      <c r="L290" s="237"/>
      <c r="M290" s="237"/>
      <c r="N290" s="237"/>
      <c r="O290" s="240"/>
      <c r="P290" s="240"/>
      <c r="Q290" s="240"/>
      <c r="R290" s="240"/>
      <c r="T290" s="239"/>
      <c r="U290" s="239"/>
      <c r="V290" s="235"/>
    </row>
    <row r="291" spans="2:22" s="18" customFormat="1" ht="12.75">
      <c r="B291" s="237"/>
      <c r="C291" s="238"/>
      <c r="D291" s="239"/>
      <c r="K291" s="237"/>
      <c r="L291" s="237"/>
      <c r="M291" s="237"/>
      <c r="N291" s="237"/>
      <c r="O291" s="240"/>
      <c r="P291" s="240"/>
      <c r="Q291" s="240"/>
      <c r="R291" s="240"/>
      <c r="T291" s="239"/>
      <c r="U291" s="239"/>
      <c r="V291" s="235"/>
    </row>
    <row r="292" spans="2:22" s="18" customFormat="1" ht="12.75">
      <c r="B292" s="237"/>
      <c r="C292" s="238"/>
      <c r="D292" s="239"/>
      <c r="K292" s="237"/>
      <c r="L292" s="237"/>
      <c r="M292" s="237"/>
      <c r="N292" s="237"/>
      <c r="O292" s="240"/>
      <c r="P292" s="240"/>
      <c r="Q292" s="240"/>
      <c r="R292" s="240"/>
      <c r="T292" s="239"/>
      <c r="U292" s="239"/>
      <c r="V292" s="235"/>
    </row>
    <row r="293" spans="2:22" s="18" customFormat="1" ht="12.75">
      <c r="B293" s="237"/>
      <c r="C293" s="238"/>
      <c r="D293" s="239"/>
      <c r="K293" s="237"/>
      <c r="L293" s="237"/>
      <c r="M293" s="237"/>
      <c r="N293" s="237"/>
      <c r="O293" s="240"/>
      <c r="P293" s="240"/>
      <c r="Q293" s="240"/>
      <c r="R293" s="240"/>
      <c r="T293" s="239"/>
      <c r="U293" s="239"/>
      <c r="V293" s="235"/>
    </row>
    <row r="294" spans="2:22" s="18" customFormat="1" ht="12.75">
      <c r="B294" s="237"/>
      <c r="C294" s="238"/>
      <c r="D294" s="239"/>
      <c r="K294" s="237"/>
      <c r="L294" s="237"/>
      <c r="M294" s="237"/>
      <c r="N294" s="237"/>
      <c r="O294" s="240"/>
      <c r="P294" s="240"/>
      <c r="Q294" s="240"/>
      <c r="R294" s="240"/>
      <c r="T294" s="239"/>
      <c r="U294" s="239"/>
      <c r="V294" s="235"/>
    </row>
    <row r="295" spans="2:22" s="18" customFormat="1" ht="12.75">
      <c r="B295" s="237"/>
      <c r="C295" s="238"/>
      <c r="D295" s="239"/>
      <c r="K295" s="237"/>
      <c r="L295" s="237"/>
      <c r="M295" s="237"/>
      <c r="N295" s="237"/>
      <c r="O295" s="240"/>
      <c r="P295" s="240"/>
      <c r="Q295" s="240"/>
      <c r="R295" s="240"/>
      <c r="T295" s="239"/>
      <c r="U295" s="239"/>
      <c r="V295" s="235"/>
    </row>
    <row r="296" spans="2:22" s="18" customFormat="1" ht="12.75">
      <c r="B296" s="237"/>
      <c r="C296" s="238"/>
      <c r="D296" s="239"/>
      <c r="K296" s="237"/>
      <c r="L296" s="237"/>
      <c r="M296" s="237"/>
      <c r="N296" s="237"/>
      <c r="O296" s="240"/>
      <c r="P296" s="240"/>
      <c r="Q296" s="240"/>
      <c r="R296" s="240"/>
      <c r="T296" s="239"/>
      <c r="U296" s="239"/>
      <c r="V296" s="235"/>
    </row>
    <row r="297" spans="2:22" s="18" customFormat="1" ht="12.75">
      <c r="B297" s="237"/>
      <c r="C297" s="238"/>
      <c r="D297" s="239"/>
      <c r="K297" s="237"/>
      <c r="L297" s="237"/>
      <c r="M297" s="237"/>
      <c r="N297" s="237"/>
      <c r="O297" s="240"/>
      <c r="P297" s="240"/>
      <c r="Q297" s="240"/>
      <c r="R297" s="240"/>
      <c r="T297" s="239"/>
      <c r="U297" s="239"/>
      <c r="V297" s="235"/>
    </row>
    <row r="298" spans="2:22" s="18" customFormat="1" ht="12.75">
      <c r="B298" s="237"/>
      <c r="C298" s="238"/>
      <c r="D298" s="239"/>
      <c r="K298" s="237"/>
      <c r="L298" s="237"/>
      <c r="M298" s="237"/>
      <c r="N298" s="237"/>
      <c r="O298" s="240"/>
      <c r="P298" s="240"/>
      <c r="Q298" s="240"/>
      <c r="R298" s="240"/>
      <c r="T298" s="239"/>
      <c r="U298" s="239"/>
      <c r="V298" s="235"/>
    </row>
    <row r="299" spans="2:22" s="18" customFormat="1" ht="12.75">
      <c r="B299" s="237"/>
      <c r="C299" s="238"/>
      <c r="D299" s="239"/>
      <c r="K299" s="237"/>
      <c r="L299" s="237"/>
      <c r="M299" s="237"/>
      <c r="N299" s="237"/>
      <c r="O299" s="240"/>
      <c r="P299" s="240"/>
      <c r="Q299" s="240"/>
      <c r="R299" s="240"/>
      <c r="T299" s="239"/>
      <c r="U299" s="239"/>
      <c r="V299" s="235"/>
    </row>
    <row r="300" spans="2:22" s="18" customFormat="1" ht="12.75">
      <c r="B300" s="237"/>
      <c r="C300" s="238"/>
      <c r="D300" s="239"/>
      <c r="K300" s="237"/>
      <c r="L300" s="237"/>
      <c r="M300" s="237"/>
      <c r="N300" s="237"/>
      <c r="O300" s="240"/>
      <c r="P300" s="240"/>
      <c r="Q300" s="240"/>
      <c r="R300" s="240"/>
      <c r="T300" s="239"/>
      <c r="U300" s="239"/>
      <c r="V300" s="235"/>
    </row>
    <row r="301" spans="2:22" s="18" customFormat="1" ht="12.75">
      <c r="B301" s="237"/>
      <c r="C301" s="238"/>
      <c r="D301" s="239"/>
      <c r="K301" s="237"/>
      <c r="L301" s="237"/>
      <c r="M301" s="237"/>
      <c r="N301" s="237"/>
      <c r="O301" s="240"/>
      <c r="P301" s="240"/>
      <c r="Q301" s="240"/>
      <c r="R301" s="240"/>
      <c r="T301" s="239"/>
      <c r="U301" s="239"/>
      <c r="V301" s="235"/>
    </row>
    <row r="302" spans="2:22" s="18" customFormat="1" ht="12.75">
      <c r="B302" s="237"/>
      <c r="C302" s="238"/>
      <c r="D302" s="239"/>
      <c r="K302" s="237"/>
      <c r="L302" s="237"/>
      <c r="M302" s="237"/>
      <c r="N302" s="237"/>
      <c r="O302" s="240"/>
      <c r="P302" s="240"/>
      <c r="Q302" s="240"/>
      <c r="R302" s="240"/>
      <c r="T302" s="239"/>
      <c r="U302" s="239"/>
      <c r="V302" s="235"/>
    </row>
    <row r="303" spans="2:22" s="18" customFormat="1" ht="12.75">
      <c r="B303" s="237"/>
      <c r="C303" s="238"/>
      <c r="D303" s="239"/>
      <c r="K303" s="237"/>
      <c r="L303" s="237"/>
      <c r="M303" s="237"/>
      <c r="N303" s="237"/>
      <c r="O303" s="240"/>
      <c r="P303" s="240"/>
      <c r="Q303" s="240"/>
      <c r="R303" s="240"/>
      <c r="T303" s="239"/>
      <c r="U303" s="239"/>
      <c r="V303" s="235"/>
    </row>
    <row r="304" spans="2:22" s="18" customFormat="1" ht="12.75">
      <c r="B304" s="237"/>
      <c r="C304" s="238"/>
      <c r="D304" s="239"/>
      <c r="K304" s="237"/>
      <c r="L304" s="237"/>
      <c r="M304" s="237"/>
      <c r="N304" s="237"/>
      <c r="O304" s="240"/>
      <c r="P304" s="240"/>
      <c r="Q304" s="240"/>
      <c r="R304" s="240"/>
      <c r="T304" s="239"/>
      <c r="U304" s="239"/>
      <c r="V304" s="235"/>
    </row>
    <row r="305" spans="2:22" s="18" customFormat="1" ht="12.75">
      <c r="B305" s="237"/>
      <c r="C305" s="238"/>
      <c r="D305" s="239"/>
      <c r="K305" s="237"/>
      <c r="L305" s="237"/>
      <c r="M305" s="237"/>
      <c r="N305" s="237"/>
      <c r="O305" s="240"/>
      <c r="P305" s="240"/>
      <c r="Q305" s="240"/>
      <c r="R305" s="240"/>
      <c r="T305" s="239"/>
      <c r="U305" s="239"/>
      <c r="V305" s="235"/>
    </row>
    <row r="306" spans="2:22" s="18" customFormat="1" ht="12.75">
      <c r="B306" s="237"/>
      <c r="C306" s="238"/>
      <c r="D306" s="239"/>
      <c r="K306" s="237"/>
      <c r="L306" s="237"/>
      <c r="M306" s="237"/>
      <c r="N306" s="237"/>
      <c r="O306" s="240"/>
      <c r="P306" s="240"/>
      <c r="Q306" s="240"/>
      <c r="R306" s="240"/>
      <c r="T306" s="239"/>
      <c r="U306" s="239"/>
      <c r="V306" s="235"/>
    </row>
    <row r="307" spans="2:22" s="18" customFormat="1" ht="12.75">
      <c r="B307" s="237"/>
      <c r="C307" s="238"/>
      <c r="D307" s="239"/>
      <c r="K307" s="237"/>
      <c r="L307" s="237"/>
      <c r="M307" s="237"/>
      <c r="N307" s="237"/>
      <c r="O307" s="240"/>
      <c r="P307" s="240"/>
      <c r="Q307" s="240"/>
      <c r="R307" s="240"/>
      <c r="T307" s="239"/>
      <c r="U307" s="239"/>
      <c r="V307" s="235"/>
    </row>
    <row r="308" spans="2:22" s="18" customFormat="1" ht="12.75">
      <c r="B308" s="237"/>
      <c r="C308" s="238"/>
      <c r="D308" s="239"/>
      <c r="K308" s="237"/>
      <c r="L308" s="237"/>
      <c r="M308" s="237"/>
      <c r="N308" s="237"/>
      <c r="O308" s="240"/>
      <c r="P308" s="240"/>
      <c r="Q308" s="240"/>
      <c r="R308" s="240"/>
      <c r="T308" s="239"/>
      <c r="U308" s="239"/>
      <c r="V308" s="235"/>
    </row>
    <row r="309" spans="2:22" s="18" customFormat="1" ht="12.75">
      <c r="B309" s="237"/>
      <c r="C309" s="238"/>
      <c r="D309" s="239"/>
      <c r="K309" s="237"/>
      <c r="L309" s="237"/>
      <c r="M309" s="237"/>
      <c r="N309" s="237"/>
      <c r="O309" s="240"/>
      <c r="P309" s="240"/>
      <c r="Q309" s="240"/>
      <c r="R309" s="240"/>
      <c r="T309" s="239"/>
      <c r="U309" s="239"/>
      <c r="V309" s="235"/>
    </row>
    <row r="310" spans="2:22" s="18" customFormat="1" ht="12.75">
      <c r="B310" s="237"/>
      <c r="C310" s="238"/>
      <c r="D310" s="239"/>
      <c r="K310" s="237"/>
      <c r="L310" s="237"/>
      <c r="M310" s="237"/>
      <c r="N310" s="237"/>
      <c r="O310" s="240"/>
      <c r="P310" s="240"/>
      <c r="Q310" s="240"/>
      <c r="R310" s="240"/>
      <c r="T310" s="239"/>
      <c r="U310" s="239"/>
      <c r="V310" s="235"/>
    </row>
    <row r="311" spans="2:22" s="18" customFormat="1" ht="12.75">
      <c r="B311" s="237"/>
      <c r="C311" s="238"/>
      <c r="D311" s="239"/>
      <c r="K311" s="237"/>
      <c r="L311" s="237"/>
      <c r="M311" s="237"/>
      <c r="N311" s="237"/>
      <c r="O311" s="240"/>
      <c r="P311" s="240"/>
      <c r="Q311" s="240"/>
      <c r="R311" s="240"/>
      <c r="T311" s="239"/>
      <c r="U311" s="239"/>
      <c r="V311" s="235"/>
    </row>
    <row r="312" spans="2:22" s="18" customFormat="1" ht="12.75">
      <c r="B312" s="237"/>
      <c r="C312" s="238"/>
      <c r="D312" s="239"/>
      <c r="K312" s="237"/>
      <c r="L312" s="237"/>
      <c r="M312" s="237"/>
      <c r="N312" s="237"/>
      <c r="O312" s="240"/>
      <c r="P312" s="240"/>
      <c r="Q312" s="240"/>
      <c r="R312" s="240"/>
      <c r="T312" s="239"/>
      <c r="U312" s="239"/>
      <c r="V312" s="235"/>
    </row>
    <row r="313" spans="2:22" s="18" customFormat="1" ht="12.75">
      <c r="B313" s="237"/>
      <c r="C313" s="238"/>
      <c r="D313" s="239"/>
      <c r="K313" s="237"/>
      <c r="L313" s="237"/>
      <c r="M313" s="237"/>
      <c r="N313" s="237"/>
      <c r="O313" s="240"/>
      <c r="P313" s="240"/>
      <c r="Q313" s="240"/>
      <c r="R313" s="240"/>
      <c r="T313" s="239"/>
      <c r="U313" s="239"/>
      <c r="V313" s="235"/>
    </row>
    <row r="314" spans="2:22" s="18" customFormat="1" ht="12.75">
      <c r="B314" s="237"/>
      <c r="C314" s="238"/>
      <c r="D314" s="239"/>
      <c r="K314" s="237"/>
      <c r="L314" s="237"/>
      <c r="M314" s="237"/>
      <c r="N314" s="237"/>
      <c r="O314" s="240"/>
      <c r="P314" s="240"/>
      <c r="Q314" s="240"/>
      <c r="R314" s="240"/>
      <c r="T314" s="239"/>
      <c r="U314" s="239"/>
      <c r="V314" s="235"/>
    </row>
    <row r="315" spans="2:22" s="18" customFormat="1" ht="12.75">
      <c r="B315" s="237"/>
      <c r="C315" s="238"/>
      <c r="D315" s="239"/>
      <c r="K315" s="237"/>
      <c r="L315" s="237"/>
      <c r="M315" s="237"/>
      <c r="N315" s="237"/>
      <c r="O315" s="240"/>
      <c r="P315" s="240"/>
      <c r="Q315" s="240"/>
      <c r="R315" s="240"/>
      <c r="T315" s="239"/>
      <c r="U315" s="239"/>
      <c r="V315" s="235"/>
    </row>
    <row r="316" spans="2:22" s="18" customFormat="1" ht="12.75">
      <c r="B316" s="237"/>
      <c r="C316" s="238"/>
      <c r="D316" s="239"/>
      <c r="K316" s="237"/>
      <c r="L316" s="237"/>
      <c r="M316" s="237"/>
      <c r="N316" s="237"/>
      <c r="O316" s="240"/>
      <c r="P316" s="240"/>
      <c r="Q316" s="240"/>
      <c r="R316" s="240"/>
      <c r="T316" s="239"/>
      <c r="U316" s="239"/>
      <c r="V316" s="235"/>
    </row>
    <row r="317" spans="2:22" s="18" customFormat="1" ht="12.75">
      <c r="B317" s="237"/>
      <c r="C317" s="238"/>
      <c r="D317" s="239"/>
      <c r="K317" s="237"/>
      <c r="L317" s="237"/>
      <c r="M317" s="237"/>
      <c r="N317" s="237"/>
      <c r="O317" s="240"/>
      <c r="P317" s="240"/>
      <c r="Q317" s="240"/>
      <c r="R317" s="240"/>
      <c r="T317" s="239"/>
      <c r="U317" s="239"/>
      <c r="V317" s="235"/>
    </row>
    <row r="318" spans="2:22" s="18" customFormat="1" ht="12.75">
      <c r="B318" s="237"/>
      <c r="C318" s="238"/>
      <c r="D318" s="239"/>
      <c r="K318" s="237"/>
      <c r="L318" s="237"/>
      <c r="M318" s="237"/>
      <c r="N318" s="237"/>
      <c r="O318" s="240"/>
      <c r="P318" s="240"/>
      <c r="Q318" s="240"/>
      <c r="R318" s="240"/>
      <c r="T318" s="239"/>
      <c r="U318" s="239"/>
      <c r="V318" s="235"/>
    </row>
    <row r="319" spans="2:22" s="18" customFormat="1" ht="12.75">
      <c r="B319" s="237"/>
      <c r="C319" s="238"/>
      <c r="D319" s="239"/>
      <c r="K319" s="237"/>
      <c r="L319" s="237"/>
      <c r="M319" s="237"/>
      <c r="N319" s="237"/>
      <c r="O319" s="240"/>
      <c r="P319" s="240"/>
      <c r="Q319" s="240"/>
      <c r="R319" s="240"/>
      <c r="T319" s="239"/>
      <c r="U319" s="239"/>
      <c r="V319" s="235"/>
    </row>
    <row r="320" spans="2:22" s="18" customFormat="1" ht="12.75">
      <c r="B320" s="237"/>
      <c r="C320" s="238"/>
      <c r="D320" s="239"/>
      <c r="K320" s="237"/>
      <c r="L320" s="237"/>
      <c r="M320" s="237"/>
      <c r="N320" s="237"/>
      <c r="O320" s="240"/>
      <c r="P320" s="240"/>
      <c r="Q320" s="240"/>
      <c r="R320" s="240"/>
      <c r="T320" s="239"/>
      <c r="U320" s="239"/>
      <c r="V320" s="235"/>
    </row>
    <row r="321" spans="2:22" s="18" customFormat="1" ht="12.75">
      <c r="B321" s="237"/>
      <c r="C321" s="238"/>
      <c r="D321" s="239"/>
      <c r="K321" s="237"/>
      <c r="L321" s="237"/>
      <c r="M321" s="237"/>
      <c r="N321" s="237"/>
      <c r="O321" s="240"/>
      <c r="P321" s="240"/>
      <c r="Q321" s="240"/>
      <c r="R321" s="240"/>
      <c r="T321" s="239"/>
      <c r="U321" s="239"/>
      <c r="V321" s="235"/>
    </row>
    <row r="322" spans="2:22" s="18" customFormat="1" ht="12.75">
      <c r="B322" s="237"/>
      <c r="C322" s="238"/>
      <c r="D322" s="239"/>
      <c r="K322" s="237"/>
      <c r="L322" s="237"/>
      <c r="M322" s="237"/>
      <c r="N322" s="237"/>
      <c r="O322" s="240"/>
      <c r="P322" s="240"/>
      <c r="Q322" s="240"/>
      <c r="R322" s="240"/>
      <c r="T322" s="239"/>
      <c r="U322" s="239"/>
      <c r="V322" s="235"/>
    </row>
    <row r="323" spans="2:22" s="18" customFormat="1" ht="12.75">
      <c r="B323" s="237"/>
      <c r="C323" s="238"/>
      <c r="D323" s="239"/>
      <c r="K323" s="237"/>
      <c r="L323" s="237"/>
      <c r="M323" s="237"/>
      <c r="N323" s="237"/>
      <c r="O323" s="240"/>
      <c r="P323" s="240"/>
      <c r="Q323" s="240"/>
      <c r="R323" s="240"/>
      <c r="T323" s="239"/>
      <c r="U323" s="239"/>
      <c r="V323" s="235"/>
    </row>
    <row r="324" spans="2:22" s="18" customFormat="1" ht="12.75">
      <c r="B324" s="237"/>
      <c r="C324" s="238"/>
      <c r="D324" s="239"/>
      <c r="K324" s="237"/>
      <c r="L324" s="237"/>
      <c r="M324" s="237"/>
      <c r="N324" s="237"/>
      <c r="O324" s="240"/>
      <c r="P324" s="240"/>
      <c r="Q324" s="240"/>
      <c r="R324" s="240"/>
      <c r="T324" s="239"/>
      <c r="U324" s="239"/>
      <c r="V324" s="235"/>
    </row>
    <row r="325" spans="2:22" s="18" customFormat="1" ht="12.75">
      <c r="B325" s="237"/>
      <c r="C325" s="238"/>
      <c r="D325" s="239"/>
      <c r="K325" s="237"/>
      <c r="L325" s="237"/>
      <c r="M325" s="237"/>
      <c r="N325" s="237"/>
      <c r="O325" s="240"/>
      <c r="P325" s="240"/>
      <c r="Q325" s="240"/>
      <c r="R325" s="240"/>
      <c r="T325" s="239"/>
      <c r="U325" s="239"/>
      <c r="V325" s="235"/>
    </row>
    <row r="326" spans="2:22" s="18" customFormat="1" ht="12.75">
      <c r="B326" s="237"/>
      <c r="C326" s="238"/>
      <c r="D326" s="239"/>
      <c r="K326" s="237"/>
      <c r="L326" s="237"/>
      <c r="M326" s="237"/>
      <c r="N326" s="237"/>
      <c r="O326" s="240"/>
      <c r="P326" s="240"/>
      <c r="Q326" s="240"/>
      <c r="R326" s="240"/>
      <c r="T326" s="239"/>
      <c r="U326" s="239"/>
      <c r="V326" s="235"/>
    </row>
    <row r="327" spans="2:22" s="18" customFormat="1" ht="12.75">
      <c r="B327" s="237"/>
      <c r="C327" s="238"/>
      <c r="D327" s="239"/>
      <c r="K327" s="237"/>
      <c r="L327" s="237"/>
      <c r="M327" s="237"/>
      <c r="N327" s="237"/>
      <c r="O327" s="240"/>
      <c r="P327" s="240"/>
      <c r="Q327" s="240"/>
      <c r="R327" s="240"/>
      <c r="T327" s="239"/>
      <c r="U327" s="239"/>
      <c r="V327" s="235"/>
    </row>
    <row r="328" spans="2:22" s="18" customFormat="1" ht="12.75">
      <c r="B328" s="237"/>
      <c r="C328" s="238"/>
      <c r="D328" s="239"/>
      <c r="K328" s="237"/>
      <c r="L328" s="237"/>
      <c r="M328" s="237"/>
      <c r="N328" s="237"/>
      <c r="O328" s="240"/>
      <c r="P328" s="240"/>
      <c r="Q328" s="240"/>
      <c r="R328" s="240"/>
      <c r="T328" s="239"/>
      <c r="U328" s="239"/>
      <c r="V328" s="235"/>
    </row>
    <row r="329" spans="2:22" s="18" customFormat="1" ht="12.75">
      <c r="B329" s="237"/>
      <c r="C329" s="238"/>
      <c r="D329" s="239"/>
      <c r="K329" s="237"/>
      <c r="L329" s="237"/>
      <c r="M329" s="237"/>
      <c r="N329" s="237"/>
      <c r="O329" s="240"/>
      <c r="P329" s="240"/>
      <c r="Q329" s="240"/>
      <c r="R329" s="240"/>
      <c r="T329" s="239"/>
      <c r="U329" s="239"/>
      <c r="V329" s="235"/>
    </row>
    <row r="330" spans="2:22" s="18" customFormat="1" ht="12.75">
      <c r="B330" s="237"/>
      <c r="C330" s="238"/>
      <c r="D330" s="239"/>
      <c r="K330" s="237"/>
      <c r="L330" s="237"/>
      <c r="M330" s="237"/>
      <c r="N330" s="237"/>
      <c r="O330" s="240"/>
      <c r="P330" s="240"/>
      <c r="Q330" s="240"/>
      <c r="R330" s="240"/>
      <c r="T330" s="239"/>
      <c r="U330" s="239"/>
      <c r="V330" s="235"/>
    </row>
    <row r="331" spans="2:22" s="18" customFormat="1" ht="12.75">
      <c r="B331" s="237"/>
      <c r="C331" s="238"/>
      <c r="D331" s="239"/>
      <c r="K331" s="237"/>
      <c r="L331" s="237"/>
      <c r="M331" s="237"/>
      <c r="N331" s="237"/>
      <c r="O331" s="240"/>
      <c r="P331" s="240"/>
      <c r="Q331" s="240"/>
      <c r="R331" s="240"/>
      <c r="T331" s="239"/>
      <c r="U331" s="239"/>
      <c r="V331" s="235"/>
    </row>
    <row r="332" spans="2:22" s="18" customFormat="1" ht="12.75">
      <c r="B332" s="237"/>
      <c r="C332" s="238"/>
      <c r="D332" s="239"/>
      <c r="K332" s="237"/>
      <c r="L332" s="237"/>
      <c r="M332" s="237"/>
      <c r="N332" s="237"/>
      <c r="O332" s="240"/>
      <c r="P332" s="240"/>
      <c r="Q332" s="240"/>
      <c r="R332" s="240"/>
      <c r="T332" s="239"/>
      <c r="U332" s="239"/>
      <c r="V332" s="235"/>
    </row>
    <row r="333" spans="2:22" s="18" customFormat="1" ht="12.75">
      <c r="B333" s="237"/>
      <c r="C333" s="238"/>
      <c r="D333" s="239"/>
      <c r="K333" s="237"/>
      <c r="L333" s="237"/>
      <c r="M333" s="237"/>
      <c r="N333" s="237"/>
      <c r="O333" s="240"/>
      <c r="P333" s="240"/>
      <c r="Q333" s="240"/>
      <c r="R333" s="240"/>
      <c r="T333" s="239"/>
      <c r="U333" s="239"/>
      <c r="V333" s="235"/>
    </row>
    <row r="334" spans="2:22" s="18" customFormat="1" ht="12.75">
      <c r="B334" s="237"/>
      <c r="C334" s="238"/>
      <c r="D334" s="239"/>
      <c r="K334" s="237"/>
      <c r="L334" s="237"/>
      <c r="M334" s="237"/>
      <c r="N334" s="237"/>
      <c r="O334" s="240"/>
      <c r="P334" s="240"/>
      <c r="Q334" s="240"/>
      <c r="R334" s="240"/>
      <c r="T334" s="239"/>
      <c r="U334" s="239"/>
      <c r="V334" s="235"/>
    </row>
    <row r="335" spans="2:22" s="18" customFormat="1" ht="12.75">
      <c r="B335" s="237"/>
      <c r="C335" s="238"/>
      <c r="D335" s="239"/>
      <c r="K335" s="237"/>
      <c r="L335" s="237"/>
      <c r="M335" s="237"/>
      <c r="N335" s="237"/>
      <c r="O335" s="240"/>
      <c r="P335" s="240"/>
      <c r="Q335" s="240"/>
      <c r="R335" s="240"/>
      <c r="T335" s="239"/>
      <c r="U335" s="239"/>
      <c r="V335" s="235"/>
    </row>
    <row r="336" spans="2:22" s="18" customFormat="1" ht="12.75">
      <c r="B336" s="237"/>
      <c r="C336" s="238"/>
      <c r="D336" s="239"/>
      <c r="K336" s="237"/>
      <c r="L336" s="237"/>
      <c r="M336" s="237"/>
      <c r="N336" s="237"/>
      <c r="O336" s="240"/>
      <c r="P336" s="240"/>
      <c r="Q336" s="240"/>
      <c r="R336" s="240"/>
      <c r="T336" s="239"/>
      <c r="U336" s="239"/>
      <c r="V336" s="235"/>
    </row>
    <row r="337" spans="2:22" s="18" customFormat="1" ht="12.75">
      <c r="B337" s="237"/>
      <c r="C337" s="238"/>
      <c r="D337" s="239"/>
      <c r="K337" s="237"/>
      <c r="L337" s="237"/>
      <c r="M337" s="237"/>
      <c r="N337" s="237"/>
      <c r="O337" s="240"/>
      <c r="P337" s="240"/>
      <c r="Q337" s="240"/>
      <c r="R337" s="240"/>
      <c r="T337" s="239"/>
      <c r="U337" s="239"/>
      <c r="V337" s="235"/>
    </row>
    <row r="338" spans="2:22" s="18" customFormat="1" ht="12.75">
      <c r="B338" s="237"/>
      <c r="C338" s="238"/>
      <c r="D338" s="239"/>
      <c r="K338" s="237"/>
      <c r="L338" s="237"/>
      <c r="M338" s="237"/>
      <c r="N338" s="237"/>
      <c r="O338" s="240"/>
      <c r="P338" s="240"/>
      <c r="Q338" s="240"/>
      <c r="R338" s="240"/>
      <c r="T338" s="239"/>
      <c r="U338" s="239"/>
      <c r="V338" s="235"/>
    </row>
    <row r="339" spans="2:22" s="18" customFormat="1" ht="12.75">
      <c r="B339" s="237"/>
      <c r="C339" s="238"/>
      <c r="D339" s="239"/>
      <c r="K339" s="237"/>
      <c r="L339" s="237"/>
      <c r="M339" s="237"/>
      <c r="N339" s="237"/>
      <c r="O339" s="240"/>
      <c r="P339" s="240"/>
      <c r="Q339" s="240"/>
      <c r="R339" s="240"/>
      <c r="T339" s="239"/>
      <c r="U339" s="239"/>
      <c r="V339" s="235"/>
    </row>
    <row r="340" spans="2:22" s="18" customFormat="1" ht="12.75">
      <c r="B340" s="237"/>
      <c r="C340" s="238"/>
      <c r="D340" s="239"/>
      <c r="K340" s="237"/>
      <c r="L340" s="237"/>
      <c r="M340" s="237"/>
      <c r="N340" s="237"/>
      <c r="O340" s="240"/>
      <c r="P340" s="240"/>
      <c r="Q340" s="240"/>
      <c r="R340" s="240"/>
      <c r="T340" s="239"/>
      <c r="U340" s="239"/>
      <c r="V340" s="235"/>
    </row>
    <row r="341" spans="2:22" s="18" customFormat="1" ht="12.75">
      <c r="B341" s="237"/>
      <c r="C341" s="238"/>
      <c r="D341" s="239"/>
      <c r="K341" s="237"/>
      <c r="L341" s="237"/>
      <c r="M341" s="237"/>
      <c r="N341" s="237"/>
      <c r="O341" s="240"/>
      <c r="P341" s="240"/>
      <c r="Q341" s="240"/>
      <c r="R341" s="240"/>
      <c r="T341" s="239"/>
      <c r="U341" s="239"/>
      <c r="V341" s="235"/>
    </row>
    <row r="342" spans="2:22" s="18" customFormat="1" ht="12.75">
      <c r="B342" s="237"/>
      <c r="C342" s="238"/>
      <c r="D342" s="239"/>
      <c r="K342" s="237"/>
      <c r="L342" s="237"/>
      <c r="M342" s="237"/>
      <c r="N342" s="237"/>
      <c r="O342" s="240"/>
      <c r="P342" s="240"/>
      <c r="Q342" s="240"/>
      <c r="R342" s="240"/>
      <c r="T342" s="239"/>
      <c r="U342" s="239"/>
      <c r="V342" s="235"/>
    </row>
    <row r="343" spans="2:22" s="18" customFormat="1" ht="12.75">
      <c r="B343" s="237"/>
      <c r="C343" s="238"/>
      <c r="D343" s="239"/>
      <c r="K343" s="237"/>
      <c r="L343" s="237"/>
      <c r="M343" s="237"/>
      <c r="N343" s="237"/>
      <c r="O343" s="240"/>
      <c r="P343" s="240"/>
      <c r="Q343" s="240"/>
      <c r="R343" s="240"/>
      <c r="T343" s="239"/>
      <c r="U343" s="239"/>
      <c r="V343" s="235"/>
    </row>
    <row r="344" spans="2:22" s="18" customFormat="1" ht="12.75">
      <c r="B344" s="237"/>
      <c r="C344" s="238"/>
      <c r="D344" s="239"/>
      <c r="K344" s="237"/>
      <c r="L344" s="237"/>
      <c r="M344" s="237"/>
      <c r="N344" s="237"/>
      <c r="O344" s="240"/>
      <c r="P344" s="240"/>
      <c r="Q344" s="240"/>
      <c r="R344" s="240"/>
      <c r="T344" s="239"/>
      <c r="U344" s="239"/>
      <c r="V344" s="235"/>
    </row>
    <row r="345" spans="2:22" s="18" customFormat="1" ht="12.75">
      <c r="B345" s="237"/>
      <c r="C345" s="238"/>
      <c r="D345" s="239"/>
      <c r="K345" s="237"/>
      <c r="L345" s="237"/>
      <c r="M345" s="237"/>
      <c r="N345" s="237"/>
      <c r="O345" s="240"/>
      <c r="P345" s="240"/>
      <c r="Q345" s="240"/>
      <c r="R345" s="240"/>
      <c r="T345" s="239"/>
      <c r="U345" s="239"/>
      <c r="V345" s="235"/>
    </row>
    <row r="346" spans="2:22" s="18" customFormat="1" ht="12.75">
      <c r="B346" s="237"/>
      <c r="C346" s="238"/>
      <c r="D346" s="239"/>
      <c r="K346" s="237"/>
      <c r="L346" s="237"/>
      <c r="M346" s="237"/>
      <c r="N346" s="237"/>
      <c r="O346" s="240"/>
      <c r="P346" s="240"/>
      <c r="Q346" s="240"/>
      <c r="R346" s="240"/>
      <c r="T346" s="239"/>
      <c r="U346" s="239"/>
      <c r="V346" s="235"/>
    </row>
    <row r="347" spans="2:22" s="18" customFormat="1" ht="12.75">
      <c r="B347" s="237"/>
      <c r="C347" s="238"/>
      <c r="D347" s="239"/>
      <c r="K347" s="237"/>
      <c r="L347" s="237"/>
      <c r="M347" s="237"/>
      <c r="N347" s="237"/>
      <c r="O347" s="240"/>
      <c r="P347" s="240"/>
      <c r="Q347" s="240"/>
      <c r="R347" s="240"/>
      <c r="T347" s="239"/>
      <c r="U347" s="239"/>
      <c r="V347" s="235"/>
    </row>
    <row r="348" spans="2:22" s="18" customFormat="1" ht="12.75">
      <c r="B348" s="237"/>
      <c r="C348" s="238"/>
      <c r="D348" s="239"/>
      <c r="K348" s="237"/>
      <c r="L348" s="237"/>
      <c r="M348" s="237"/>
      <c r="N348" s="237"/>
      <c r="O348" s="240"/>
      <c r="P348" s="240"/>
      <c r="Q348" s="240"/>
      <c r="R348" s="240"/>
      <c r="T348" s="239"/>
      <c r="U348" s="239"/>
      <c r="V348" s="235"/>
    </row>
    <row r="349" spans="2:22" s="18" customFormat="1" ht="12.75">
      <c r="B349" s="237"/>
      <c r="C349" s="238"/>
      <c r="D349" s="239"/>
      <c r="K349" s="237"/>
      <c r="L349" s="237"/>
      <c r="M349" s="237"/>
      <c r="N349" s="237"/>
      <c r="O349" s="240"/>
      <c r="P349" s="240"/>
      <c r="Q349" s="240"/>
      <c r="R349" s="240"/>
      <c r="T349" s="239"/>
      <c r="U349" s="239"/>
      <c r="V349" s="235"/>
    </row>
    <row r="350" spans="2:22" s="18" customFormat="1" ht="12.75">
      <c r="B350" s="237"/>
      <c r="C350" s="238"/>
      <c r="D350" s="239"/>
      <c r="K350" s="237"/>
      <c r="L350" s="237"/>
      <c r="M350" s="237"/>
      <c r="N350" s="237"/>
      <c r="O350" s="240"/>
      <c r="P350" s="240"/>
      <c r="Q350" s="240"/>
      <c r="R350" s="240"/>
      <c r="T350" s="239"/>
      <c r="U350" s="239"/>
      <c r="V350" s="235"/>
    </row>
    <row r="351" spans="2:22" s="18" customFormat="1" ht="12.75">
      <c r="B351" s="237"/>
      <c r="C351" s="238"/>
      <c r="D351" s="239"/>
      <c r="K351" s="237"/>
      <c r="L351" s="237"/>
      <c r="M351" s="237"/>
      <c r="N351" s="237"/>
      <c r="O351" s="240"/>
      <c r="P351" s="240"/>
      <c r="Q351" s="240"/>
      <c r="R351" s="240"/>
      <c r="T351" s="239"/>
      <c r="U351" s="239"/>
      <c r="V351" s="235"/>
    </row>
    <row r="352" spans="2:22" s="18" customFormat="1" ht="12.75">
      <c r="B352" s="237"/>
      <c r="C352" s="238"/>
      <c r="D352" s="239"/>
      <c r="K352" s="237"/>
      <c r="L352" s="237"/>
      <c r="M352" s="237"/>
      <c r="N352" s="237"/>
      <c r="O352" s="240"/>
      <c r="P352" s="240"/>
      <c r="Q352" s="240"/>
      <c r="R352" s="240"/>
      <c r="T352" s="239"/>
      <c r="U352" s="239"/>
      <c r="V352" s="235"/>
    </row>
    <row r="353" spans="2:22" s="18" customFormat="1" ht="12.75">
      <c r="B353" s="237"/>
      <c r="C353" s="238"/>
      <c r="D353" s="239"/>
      <c r="K353" s="237"/>
      <c r="L353" s="237"/>
      <c r="M353" s="237"/>
      <c r="N353" s="237"/>
      <c r="O353" s="240"/>
      <c r="P353" s="240"/>
      <c r="Q353" s="240"/>
      <c r="R353" s="240"/>
      <c r="T353" s="239"/>
      <c r="U353" s="239"/>
      <c r="V353" s="235"/>
    </row>
    <row r="354" spans="2:22" s="18" customFormat="1" ht="12.75">
      <c r="B354" s="237"/>
      <c r="C354" s="238"/>
      <c r="D354" s="239"/>
      <c r="K354" s="237"/>
      <c r="L354" s="237"/>
      <c r="M354" s="237"/>
      <c r="N354" s="237"/>
      <c r="O354" s="240"/>
      <c r="P354" s="240"/>
      <c r="Q354" s="240"/>
      <c r="R354" s="240"/>
      <c r="T354" s="239"/>
      <c r="U354" s="239"/>
      <c r="V354" s="235"/>
    </row>
    <row r="355" spans="2:22" s="18" customFormat="1" ht="12.75">
      <c r="B355" s="237"/>
      <c r="C355" s="238"/>
      <c r="D355" s="239"/>
      <c r="K355" s="237"/>
      <c r="L355" s="237"/>
      <c r="M355" s="237"/>
      <c r="N355" s="237"/>
      <c r="O355" s="240"/>
      <c r="P355" s="240"/>
      <c r="Q355" s="240"/>
      <c r="R355" s="240"/>
      <c r="T355" s="239"/>
      <c r="U355" s="239"/>
      <c r="V355" s="235"/>
    </row>
    <row r="356" spans="2:22" s="18" customFormat="1" ht="12.75">
      <c r="B356" s="237"/>
      <c r="C356" s="238"/>
      <c r="D356" s="239"/>
      <c r="K356" s="237"/>
      <c r="L356" s="237"/>
      <c r="M356" s="237"/>
      <c r="N356" s="237"/>
      <c r="O356" s="240"/>
      <c r="P356" s="240"/>
      <c r="Q356" s="240"/>
      <c r="R356" s="240"/>
      <c r="T356" s="239"/>
      <c r="U356" s="239"/>
      <c r="V356" s="235"/>
    </row>
    <row r="357" spans="2:22" s="18" customFormat="1" ht="12.75">
      <c r="B357" s="237"/>
      <c r="C357" s="238"/>
      <c r="D357" s="239"/>
      <c r="K357" s="237"/>
      <c r="L357" s="237"/>
      <c r="M357" s="237"/>
      <c r="N357" s="237"/>
      <c r="O357" s="240"/>
      <c r="P357" s="240"/>
      <c r="Q357" s="240"/>
      <c r="R357" s="240"/>
      <c r="T357" s="239"/>
      <c r="U357" s="239"/>
      <c r="V357" s="235"/>
    </row>
    <row r="358" spans="2:22" s="18" customFormat="1" ht="12.75">
      <c r="B358" s="237"/>
      <c r="C358" s="238"/>
      <c r="D358" s="239"/>
      <c r="K358" s="237"/>
      <c r="L358" s="237"/>
      <c r="M358" s="237"/>
      <c r="N358" s="237"/>
      <c r="O358" s="240"/>
      <c r="P358" s="240"/>
      <c r="Q358" s="240"/>
      <c r="R358" s="240"/>
      <c r="T358" s="239"/>
      <c r="U358" s="239"/>
      <c r="V358" s="235"/>
    </row>
    <row r="359" spans="2:22" s="18" customFormat="1" ht="12.75">
      <c r="B359" s="237"/>
      <c r="C359" s="238"/>
      <c r="D359" s="239"/>
      <c r="K359" s="237"/>
      <c r="L359" s="237"/>
      <c r="M359" s="237"/>
      <c r="N359" s="237"/>
      <c r="O359" s="240"/>
      <c r="P359" s="240"/>
      <c r="Q359" s="240"/>
      <c r="R359" s="240"/>
      <c r="T359" s="239"/>
      <c r="U359" s="239"/>
      <c r="V359" s="235"/>
    </row>
    <row r="360" spans="2:22" s="18" customFormat="1" ht="12.75">
      <c r="B360" s="237"/>
      <c r="C360" s="238"/>
      <c r="D360" s="239"/>
      <c r="K360" s="237"/>
      <c r="L360" s="237"/>
      <c r="M360" s="237"/>
      <c r="N360" s="237"/>
      <c r="O360" s="240"/>
      <c r="P360" s="240"/>
      <c r="Q360" s="240"/>
      <c r="R360" s="240"/>
      <c r="T360" s="239"/>
      <c r="U360" s="239"/>
      <c r="V360" s="235"/>
    </row>
    <row r="361" spans="2:22" s="18" customFormat="1" ht="12.75">
      <c r="B361" s="237"/>
      <c r="C361" s="238"/>
      <c r="D361" s="239"/>
      <c r="K361" s="237"/>
      <c r="L361" s="237"/>
      <c r="M361" s="237"/>
      <c r="N361" s="237"/>
      <c r="O361" s="240"/>
      <c r="P361" s="240"/>
      <c r="Q361" s="240"/>
      <c r="R361" s="240"/>
      <c r="T361" s="239"/>
      <c r="U361" s="239"/>
      <c r="V361" s="235"/>
    </row>
    <row r="362" spans="2:22" s="18" customFormat="1" ht="12.75">
      <c r="B362" s="237"/>
      <c r="C362" s="238"/>
      <c r="D362" s="239"/>
      <c r="K362" s="237"/>
      <c r="L362" s="237"/>
      <c r="M362" s="237"/>
      <c r="N362" s="237"/>
      <c r="O362" s="240"/>
      <c r="P362" s="240"/>
      <c r="Q362" s="240"/>
      <c r="R362" s="240"/>
      <c r="T362" s="239"/>
      <c r="U362" s="239"/>
      <c r="V362" s="235"/>
    </row>
    <row r="363" spans="2:22" s="18" customFormat="1" ht="12.75">
      <c r="B363" s="237"/>
      <c r="C363" s="238"/>
      <c r="D363" s="239"/>
      <c r="K363" s="237"/>
      <c r="L363" s="237"/>
      <c r="M363" s="237"/>
      <c r="N363" s="237"/>
      <c r="O363" s="240"/>
      <c r="P363" s="240"/>
      <c r="Q363" s="240"/>
      <c r="R363" s="240"/>
      <c r="T363" s="239"/>
      <c r="U363" s="239"/>
      <c r="V363" s="235"/>
    </row>
    <row r="364" spans="2:22" s="18" customFormat="1" ht="12.75">
      <c r="B364" s="237"/>
      <c r="C364" s="238"/>
      <c r="D364" s="239"/>
      <c r="K364" s="237"/>
      <c r="L364" s="237"/>
      <c r="M364" s="237"/>
      <c r="N364" s="237"/>
      <c r="O364" s="240"/>
      <c r="P364" s="240"/>
      <c r="Q364" s="240"/>
      <c r="R364" s="240"/>
      <c r="T364" s="239"/>
      <c r="U364" s="239"/>
      <c r="V364" s="235"/>
    </row>
    <row r="365" spans="2:22" s="18" customFormat="1" ht="12.75">
      <c r="B365" s="237"/>
      <c r="C365" s="238"/>
      <c r="D365" s="239"/>
      <c r="K365" s="237"/>
      <c r="L365" s="237"/>
      <c r="M365" s="237"/>
      <c r="N365" s="237"/>
      <c r="O365" s="240"/>
      <c r="P365" s="240"/>
      <c r="Q365" s="240"/>
      <c r="R365" s="240"/>
      <c r="T365" s="239"/>
      <c r="U365" s="239"/>
      <c r="V365" s="235"/>
    </row>
    <row r="366" spans="2:22" s="18" customFormat="1" ht="12.75">
      <c r="B366" s="237"/>
      <c r="C366" s="238"/>
      <c r="D366" s="239"/>
      <c r="K366" s="237"/>
      <c r="L366" s="237"/>
      <c r="M366" s="237"/>
      <c r="N366" s="237"/>
      <c r="O366" s="240"/>
      <c r="P366" s="240"/>
      <c r="Q366" s="240"/>
      <c r="R366" s="240"/>
      <c r="T366" s="239"/>
      <c r="U366" s="239"/>
      <c r="V366" s="235"/>
    </row>
    <row r="367" spans="2:22" s="18" customFormat="1" ht="12.75">
      <c r="B367" s="237"/>
      <c r="C367" s="238"/>
      <c r="D367" s="239"/>
      <c r="K367" s="237"/>
      <c r="L367" s="237"/>
      <c r="M367" s="237"/>
      <c r="N367" s="237"/>
      <c r="O367" s="240"/>
      <c r="P367" s="240"/>
      <c r="Q367" s="240"/>
      <c r="R367" s="240"/>
      <c r="T367" s="239"/>
      <c r="U367" s="239"/>
      <c r="V367" s="235"/>
    </row>
    <row r="368" spans="2:22" s="18" customFormat="1" ht="12.75">
      <c r="B368" s="237"/>
      <c r="C368" s="238"/>
      <c r="D368" s="239"/>
      <c r="K368" s="237"/>
      <c r="L368" s="237"/>
      <c r="M368" s="237"/>
      <c r="N368" s="237"/>
      <c r="O368" s="240"/>
      <c r="P368" s="240"/>
      <c r="Q368" s="240"/>
      <c r="R368" s="240"/>
      <c r="T368" s="239"/>
      <c r="U368" s="239"/>
      <c r="V368" s="235"/>
    </row>
    <row r="369" spans="2:22" s="18" customFormat="1" ht="12.75">
      <c r="B369" s="237"/>
      <c r="C369" s="238"/>
      <c r="D369" s="239"/>
      <c r="K369" s="237"/>
      <c r="L369" s="237"/>
      <c r="M369" s="237"/>
      <c r="N369" s="237"/>
      <c r="O369" s="240"/>
      <c r="P369" s="240"/>
      <c r="Q369" s="240"/>
      <c r="R369" s="240"/>
      <c r="T369" s="239"/>
      <c r="U369" s="239"/>
      <c r="V369" s="235"/>
    </row>
    <row r="370" spans="2:22" s="18" customFormat="1" ht="12.75">
      <c r="B370" s="237"/>
      <c r="C370" s="238"/>
      <c r="D370" s="239"/>
      <c r="K370" s="237"/>
      <c r="L370" s="237"/>
      <c r="M370" s="237"/>
      <c r="N370" s="237"/>
      <c r="O370" s="240"/>
      <c r="P370" s="240"/>
      <c r="Q370" s="240"/>
      <c r="R370" s="240"/>
      <c r="T370" s="239"/>
      <c r="U370" s="239"/>
      <c r="V370" s="235"/>
    </row>
    <row r="371" spans="2:22" s="18" customFormat="1" ht="12.75">
      <c r="B371" s="237"/>
      <c r="C371" s="238"/>
      <c r="D371" s="239"/>
      <c r="K371" s="237"/>
      <c r="L371" s="237"/>
      <c r="M371" s="237"/>
      <c r="N371" s="237"/>
      <c r="O371" s="240"/>
      <c r="P371" s="240"/>
      <c r="Q371" s="240"/>
      <c r="R371" s="240"/>
      <c r="T371" s="239"/>
      <c r="U371" s="239"/>
      <c r="V371" s="235"/>
    </row>
    <row r="372" spans="2:22" s="18" customFormat="1" ht="12.75">
      <c r="B372" s="237"/>
      <c r="C372" s="238"/>
      <c r="D372" s="239"/>
      <c r="K372" s="237"/>
      <c r="L372" s="237"/>
      <c r="M372" s="237"/>
      <c r="N372" s="237"/>
      <c r="O372" s="240"/>
      <c r="P372" s="240"/>
      <c r="Q372" s="240"/>
      <c r="R372" s="240"/>
      <c r="T372" s="239"/>
      <c r="U372" s="239"/>
      <c r="V372" s="235"/>
    </row>
    <row r="373" spans="2:22" s="18" customFormat="1" ht="12.75">
      <c r="B373" s="237"/>
      <c r="C373" s="238"/>
      <c r="D373" s="239"/>
      <c r="K373" s="237"/>
      <c r="L373" s="237"/>
      <c r="M373" s="237"/>
      <c r="N373" s="237"/>
      <c r="O373" s="240"/>
      <c r="P373" s="240"/>
      <c r="Q373" s="240"/>
      <c r="R373" s="240"/>
      <c r="T373" s="239"/>
      <c r="U373" s="239"/>
      <c r="V373" s="235"/>
    </row>
    <row r="374" spans="2:22" s="18" customFormat="1" ht="12.75">
      <c r="B374" s="237"/>
      <c r="C374" s="238"/>
      <c r="D374" s="239"/>
      <c r="K374" s="237"/>
      <c r="L374" s="237"/>
      <c r="M374" s="237"/>
      <c r="N374" s="237"/>
      <c r="O374" s="240"/>
      <c r="P374" s="240"/>
      <c r="Q374" s="240"/>
      <c r="R374" s="240"/>
      <c r="T374" s="239"/>
      <c r="U374" s="239"/>
      <c r="V374" s="235"/>
    </row>
    <row r="375" spans="2:22" s="18" customFormat="1" ht="12.75">
      <c r="B375" s="237"/>
      <c r="C375" s="238"/>
      <c r="D375" s="239"/>
      <c r="K375" s="237"/>
      <c r="L375" s="237"/>
      <c r="M375" s="237"/>
      <c r="N375" s="237"/>
      <c r="O375" s="240"/>
      <c r="P375" s="240"/>
      <c r="Q375" s="240"/>
      <c r="R375" s="240"/>
      <c r="T375" s="239"/>
      <c r="U375" s="239"/>
      <c r="V375" s="235"/>
    </row>
    <row r="376" spans="2:22" s="18" customFormat="1" ht="12.75">
      <c r="B376" s="237"/>
      <c r="C376" s="238"/>
      <c r="D376" s="239"/>
      <c r="K376" s="237"/>
      <c r="L376" s="237"/>
      <c r="M376" s="237"/>
      <c r="N376" s="237"/>
      <c r="O376" s="240"/>
      <c r="P376" s="240"/>
      <c r="Q376" s="240"/>
      <c r="R376" s="240"/>
      <c r="T376" s="239"/>
      <c r="U376" s="239"/>
      <c r="V376" s="235"/>
    </row>
    <row r="377" spans="2:22" s="18" customFormat="1" ht="12.75">
      <c r="B377" s="237"/>
      <c r="C377" s="238"/>
      <c r="D377" s="239"/>
      <c r="K377" s="237"/>
      <c r="L377" s="237"/>
      <c r="M377" s="237"/>
      <c r="N377" s="237"/>
      <c r="O377" s="240"/>
      <c r="P377" s="240"/>
      <c r="Q377" s="240"/>
      <c r="R377" s="240"/>
      <c r="T377" s="239"/>
      <c r="U377" s="239"/>
      <c r="V377" s="235"/>
    </row>
    <row r="378" spans="2:22" s="18" customFormat="1" ht="12.75">
      <c r="B378" s="237"/>
      <c r="C378" s="238"/>
      <c r="D378" s="239"/>
      <c r="K378" s="237"/>
      <c r="L378" s="237"/>
      <c r="M378" s="237"/>
      <c r="N378" s="237"/>
      <c r="O378" s="240"/>
      <c r="P378" s="240"/>
      <c r="Q378" s="240"/>
      <c r="R378" s="240"/>
      <c r="T378" s="239"/>
      <c r="U378" s="239"/>
      <c r="V378" s="235"/>
    </row>
    <row r="379" spans="2:22" s="18" customFormat="1" ht="12.75">
      <c r="B379" s="237"/>
      <c r="C379" s="238"/>
      <c r="D379" s="239"/>
      <c r="K379" s="237"/>
      <c r="L379" s="237"/>
      <c r="M379" s="237"/>
      <c r="N379" s="237"/>
      <c r="O379" s="240"/>
      <c r="P379" s="240"/>
      <c r="Q379" s="240"/>
      <c r="R379" s="240"/>
      <c r="T379" s="239"/>
      <c r="U379" s="239"/>
      <c r="V379" s="235"/>
    </row>
    <row r="380" spans="2:22" s="18" customFormat="1" ht="12.75">
      <c r="B380" s="237"/>
      <c r="C380" s="238"/>
      <c r="D380" s="239"/>
      <c r="K380" s="237"/>
      <c r="L380" s="237"/>
      <c r="M380" s="237"/>
      <c r="N380" s="237"/>
      <c r="O380" s="240"/>
      <c r="P380" s="240"/>
      <c r="Q380" s="240"/>
      <c r="R380" s="240"/>
      <c r="T380" s="239"/>
      <c r="U380" s="239"/>
      <c r="V380" s="2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10.14062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6.57421875" style="2" bestFit="1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100</v>
      </c>
      <c r="B1" s="16"/>
      <c r="C1" s="4"/>
      <c r="D1" s="7"/>
      <c r="E1" s="4"/>
      <c r="F1" s="4"/>
      <c r="G1" s="119" t="s">
        <v>99</v>
      </c>
      <c r="H1" s="4"/>
      <c r="I1" s="4"/>
      <c r="J1" s="4"/>
      <c r="O1" s="96"/>
      <c r="P1" s="96" t="s">
        <v>109</v>
      </c>
      <c r="Q1" s="115">
        <v>42551</v>
      </c>
    </row>
    <row r="3" spans="1:22" ht="38.25" customHeight="1">
      <c r="A3" s="5" t="s">
        <v>101</v>
      </c>
      <c r="B3" s="17" t="s">
        <v>102</v>
      </c>
      <c r="C3" s="6" t="s">
        <v>82</v>
      </c>
      <c r="D3" s="116" t="s">
        <v>70</v>
      </c>
      <c r="E3" s="5" t="s">
        <v>103</v>
      </c>
      <c r="F3" s="118" t="s">
        <v>84</v>
      </c>
      <c r="G3" s="118" t="s">
        <v>85</v>
      </c>
      <c r="H3" s="6" t="s">
        <v>16</v>
      </c>
      <c r="I3" s="6" t="s">
        <v>17</v>
      </c>
      <c r="J3" s="118" t="s">
        <v>15</v>
      </c>
      <c r="K3" s="117" t="s">
        <v>104</v>
      </c>
      <c r="L3" s="15" t="s">
        <v>105</v>
      </c>
      <c r="M3" s="15" t="s">
        <v>90</v>
      </c>
      <c r="N3" s="15" t="s">
        <v>91</v>
      </c>
      <c r="O3" s="10" t="s">
        <v>106</v>
      </c>
      <c r="P3" s="11" t="s">
        <v>107</v>
      </c>
      <c r="Q3" s="12" t="s">
        <v>108</v>
      </c>
      <c r="R3" s="13" t="s">
        <v>72</v>
      </c>
      <c r="S3" s="2" t="s">
        <v>95</v>
      </c>
      <c r="T3" s="8" t="s">
        <v>96</v>
      </c>
      <c r="U3" s="8" t="s">
        <v>97</v>
      </c>
      <c r="V3" s="2" t="s">
        <v>98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V5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7109375" style="2" customWidth="1"/>
    <col min="2" max="2" width="12.28125" style="14" customWidth="1"/>
    <col min="3" max="3" width="17.42187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140625" style="14" bestFit="1" customWidth="1"/>
    <col min="12" max="12" width="9.140625" style="14" customWidth="1"/>
    <col min="13" max="14" width="10.14062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111</v>
      </c>
    </row>
    <row r="3" spans="1:17" ht="11.25">
      <c r="A3" s="3" t="s">
        <v>112</v>
      </c>
      <c r="B3" s="16"/>
      <c r="C3" s="4"/>
      <c r="D3" s="126" t="s">
        <v>110</v>
      </c>
      <c r="E3" s="4"/>
      <c r="F3" s="4"/>
      <c r="G3" s="4"/>
      <c r="H3" s="4"/>
      <c r="I3" s="4"/>
      <c r="J3" s="4"/>
      <c r="N3" s="97"/>
      <c r="O3" s="96"/>
      <c r="P3" s="96" t="s">
        <v>114</v>
      </c>
      <c r="Q3" s="115">
        <v>42551</v>
      </c>
    </row>
    <row r="5" spans="1:20" ht="38.25" customHeight="1">
      <c r="A5" s="5" t="s">
        <v>80</v>
      </c>
      <c r="B5" s="17" t="s">
        <v>102</v>
      </c>
      <c r="C5" s="6" t="s">
        <v>82</v>
      </c>
      <c r="D5" s="116" t="s">
        <v>70</v>
      </c>
      <c r="E5" s="5" t="s">
        <v>103</v>
      </c>
      <c r="F5" s="125" t="s">
        <v>84</v>
      </c>
      <c r="G5" s="125" t="s">
        <v>85</v>
      </c>
      <c r="H5" s="6" t="s">
        <v>16</v>
      </c>
      <c r="I5" s="6" t="s">
        <v>17</v>
      </c>
      <c r="J5" s="118" t="s">
        <v>15</v>
      </c>
      <c r="K5" s="117" t="s">
        <v>104</v>
      </c>
      <c r="L5" s="15" t="s">
        <v>105</v>
      </c>
      <c r="M5" s="117" t="s">
        <v>90</v>
      </c>
      <c r="N5" s="117" t="s">
        <v>91</v>
      </c>
      <c r="O5" s="11" t="s">
        <v>113</v>
      </c>
      <c r="P5" s="13" t="s">
        <v>72</v>
      </c>
      <c r="Q5" s="132" t="s">
        <v>18</v>
      </c>
      <c r="R5" s="8" t="s">
        <v>96</v>
      </c>
      <c r="S5" s="8" t="s">
        <v>97</v>
      </c>
      <c r="T5" s="2" t="s">
        <v>98</v>
      </c>
    </row>
    <row r="6" spans="1:22" s="18" customFormat="1" ht="12.75">
      <c r="A6" s="242"/>
      <c r="B6" s="237"/>
      <c r="C6" s="241"/>
      <c r="D6" s="239"/>
      <c r="K6" s="237"/>
      <c r="L6" s="237"/>
      <c r="M6" s="237"/>
      <c r="N6" s="237"/>
      <c r="O6" s="240"/>
      <c r="P6" s="240"/>
      <c r="Q6" s="240"/>
      <c r="R6" s="240"/>
      <c r="T6" s="239"/>
      <c r="U6" s="239"/>
      <c r="V6" s="235"/>
    </row>
    <row r="7" spans="1:22" s="18" customFormat="1" ht="12.75">
      <c r="A7" s="242"/>
      <c r="B7" s="237"/>
      <c r="C7" s="241"/>
      <c r="D7" s="239"/>
      <c r="K7" s="237"/>
      <c r="L7" s="237"/>
      <c r="M7" s="237"/>
      <c r="N7" s="237"/>
      <c r="O7" s="240"/>
      <c r="P7" s="240"/>
      <c r="Q7" s="240"/>
      <c r="R7" s="240"/>
      <c r="T7" s="239"/>
      <c r="U7" s="239"/>
      <c r="V7" s="235"/>
    </row>
    <row r="8" spans="1:22" s="18" customFormat="1" ht="12.75">
      <c r="A8" s="242"/>
      <c r="B8" s="237"/>
      <c r="C8" s="241"/>
      <c r="D8" s="239"/>
      <c r="K8" s="237"/>
      <c r="L8" s="237"/>
      <c r="M8" s="237"/>
      <c r="N8" s="237"/>
      <c r="O8" s="240"/>
      <c r="P8" s="240"/>
      <c r="Q8" s="240"/>
      <c r="R8" s="240"/>
      <c r="T8" s="239"/>
      <c r="U8" s="239"/>
      <c r="V8" s="235"/>
    </row>
    <row r="9" spans="1:22" s="18" customFormat="1" ht="12.75">
      <c r="A9" s="242"/>
      <c r="B9" s="237"/>
      <c r="C9" s="241"/>
      <c r="D9" s="239"/>
      <c r="K9" s="237"/>
      <c r="L9" s="237"/>
      <c r="M9" s="237"/>
      <c r="N9" s="237"/>
      <c r="O9" s="240"/>
      <c r="P9" s="240"/>
      <c r="Q9" s="240"/>
      <c r="R9" s="240"/>
      <c r="T9" s="239"/>
      <c r="U9" s="239"/>
      <c r="V9" s="235"/>
    </row>
    <row r="10" spans="1:22" s="18" customFormat="1" ht="12.75">
      <c r="A10" s="242"/>
      <c r="B10" s="237"/>
      <c r="C10" s="241"/>
      <c r="D10" s="239"/>
      <c r="K10" s="237"/>
      <c r="L10" s="237"/>
      <c r="M10" s="237"/>
      <c r="N10" s="237"/>
      <c r="O10" s="240"/>
      <c r="P10" s="240"/>
      <c r="Q10" s="240"/>
      <c r="R10" s="240"/>
      <c r="T10" s="239"/>
      <c r="U10" s="239"/>
      <c r="V10" s="235"/>
    </row>
    <row r="11" spans="1:22" s="18" customFormat="1" ht="12.75">
      <c r="A11" s="242"/>
      <c r="B11" s="237"/>
      <c r="C11" s="241"/>
      <c r="D11" s="239"/>
      <c r="K11" s="237"/>
      <c r="L11" s="237"/>
      <c r="M11" s="237"/>
      <c r="N11" s="237"/>
      <c r="O11" s="240"/>
      <c r="P11" s="240"/>
      <c r="Q11" s="240"/>
      <c r="R11" s="240"/>
      <c r="T11" s="239"/>
      <c r="U11" s="239"/>
      <c r="V11" s="235"/>
    </row>
    <row r="12" spans="1:22" s="18" customFormat="1" ht="12.75">
      <c r="A12" s="242"/>
      <c r="B12" s="237"/>
      <c r="C12" s="241"/>
      <c r="D12" s="239"/>
      <c r="K12" s="243"/>
      <c r="L12" s="237"/>
      <c r="M12" s="237"/>
      <c r="N12" s="237"/>
      <c r="O12" s="240"/>
      <c r="P12" s="240"/>
      <c r="Q12" s="240"/>
      <c r="R12" s="240"/>
      <c r="T12" s="239"/>
      <c r="U12" s="239"/>
      <c r="V12" s="235"/>
    </row>
    <row r="13" spans="1:22" s="18" customFormat="1" ht="12.75">
      <c r="A13" s="242"/>
      <c r="B13" s="237"/>
      <c r="C13" s="241"/>
      <c r="D13" s="239"/>
      <c r="K13" s="237"/>
      <c r="L13" s="237"/>
      <c r="M13" s="237"/>
      <c r="N13" s="237"/>
      <c r="O13" s="240"/>
      <c r="P13" s="240"/>
      <c r="Q13" s="240"/>
      <c r="R13" s="240"/>
      <c r="T13" s="239"/>
      <c r="U13" s="239"/>
      <c r="V13" s="235"/>
    </row>
    <row r="14" spans="1:22" s="18" customFormat="1" ht="12.75">
      <c r="A14" s="242"/>
      <c r="B14" s="237"/>
      <c r="C14" s="241"/>
      <c r="D14" s="239"/>
      <c r="K14" s="237"/>
      <c r="L14" s="237"/>
      <c r="M14" s="237"/>
      <c r="N14" s="237"/>
      <c r="O14" s="240"/>
      <c r="P14" s="240"/>
      <c r="Q14" s="240"/>
      <c r="R14" s="240"/>
      <c r="T14" s="239"/>
      <c r="U14" s="239"/>
      <c r="V14" s="235"/>
    </row>
    <row r="15" spans="1:22" s="18" customFormat="1" ht="12.75">
      <c r="A15" s="242"/>
      <c r="B15" s="237"/>
      <c r="C15" s="241"/>
      <c r="D15" s="239"/>
      <c r="K15" s="237"/>
      <c r="L15" s="237"/>
      <c r="M15" s="237"/>
      <c r="N15" s="237"/>
      <c r="O15" s="240"/>
      <c r="P15" s="240"/>
      <c r="Q15" s="240"/>
      <c r="R15" s="240"/>
      <c r="T15" s="239"/>
      <c r="U15" s="239"/>
      <c r="V15" s="235"/>
    </row>
    <row r="16" spans="1:22" s="18" customFormat="1" ht="12.75">
      <c r="A16" s="242"/>
      <c r="B16" s="237"/>
      <c r="C16" s="241"/>
      <c r="D16" s="239"/>
      <c r="K16" s="237"/>
      <c r="L16" s="237"/>
      <c r="M16" s="237"/>
      <c r="N16" s="237"/>
      <c r="O16" s="240"/>
      <c r="P16" s="240"/>
      <c r="Q16" s="240"/>
      <c r="R16" s="240"/>
      <c r="T16" s="239"/>
      <c r="U16" s="239"/>
      <c r="V16" s="235"/>
    </row>
    <row r="17" spans="1:22" s="18" customFormat="1" ht="12.75">
      <c r="A17" s="242"/>
      <c r="B17" s="237"/>
      <c r="C17" s="241"/>
      <c r="D17" s="239"/>
      <c r="K17" s="237"/>
      <c r="L17" s="237"/>
      <c r="M17" s="237"/>
      <c r="N17" s="237"/>
      <c r="O17" s="240"/>
      <c r="P17" s="240"/>
      <c r="Q17" s="240"/>
      <c r="R17" s="240"/>
      <c r="T17" s="239"/>
      <c r="U17" s="239"/>
      <c r="V17" s="235"/>
    </row>
    <row r="18" spans="1:22" s="18" customFormat="1" ht="12.75">
      <c r="A18" s="242"/>
      <c r="B18" s="237"/>
      <c r="C18" s="241"/>
      <c r="D18" s="239"/>
      <c r="K18" s="237"/>
      <c r="L18" s="237"/>
      <c r="M18" s="237"/>
      <c r="N18" s="237"/>
      <c r="O18" s="240"/>
      <c r="P18" s="240"/>
      <c r="Q18" s="240"/>
      <c r="R18" s="240"/>
      <c r="T18" s="239"/>
      <c r="U18" s="239"/>
      <c r="V18" s="235"/>
    </row>
    <row r="19" spans="1:22" s="18" customFormat="1" ht="12.75">
      <c r="A19" s="242"/>
      <c r="B19" s="237"/>
      <c r="C19" s="241"/>
      <c r="D19" s="239"/>
      <c r="K19" s="237"/>
      <c r="L19" s="237"/>
      <c r="M19" s="237"/>
      <c r="N19" s="237"/>
      <c r="O19" s="240"/>
      <c r="P19" s="240"/>
      <c r="Q19" s="240"/>
      <c r="R19" s="240"/>
      <c r="T19" s="239"/>
      <c r="U19" s="239"/>
      <c r="V19" s="235"/>
    </row>
    <row r="20" spans="1:22" s="18" customFormat="1" ht="12.75">
      <c r="A20" s="242"/>
      <c r="B20" s="237"/>
      <c r="C20" s="241"/>
      <c r="D20" s="239"/>
      <c r="K20" s="237"/>
      <c r="L20" s="237"/>
      <c r="M20" s="237"/>
      <c r="N20" s="237"/>
      <c r="O20" s="240"/>
      <c r="P20" s="240"/>
      <c r="Q20" s="240"/>
      <c r="R20" s="240"/>
      <c r="T20" s="239"/>
      <c r="U20" s="239"/>
      <c r="V20" s="235"/>
    </row>
    <row r="21" spans="1:22" s="18" customFormat="1" ht="12.75">
      <c r="A21" s="242"/>
      <c r="B21" s="237"/>
      <c r="C21" s="241"/>
      <c r="D21" s="239"/>
      <c r="K21" s="237"/>
      <c r="L21" s="237"/>
      <c r="M21" s="237"/>
      <c r="N21" s="237"/>
      <c r="O21" s="240"/>
      <c r="P21" s="240"/>
      <c r="Q21" s="240"/>
      <c r="R21" s="240"/>
      <c r="T21" s="239"/>
      <c r="U21" s="239"/>
      <c r="V21" s="235"/>
    </row>
    <row r="22" spans="1:22" s="18" customFormat="1" ht="12.75">
      <c r="A22" s="242"/>
      <c r="B22" s="237"/>
      <c r="C22" s="241"/>
      <c r="D22" s="239"/>
      <c r="K22" s="237"/>
      <c r="L22" s="237"/>
      <c r="M22" s="237"/>
      <c r="N22" s="237"/>
      <c r="O22" s="240"/>
      <c r="P22" s="240"/>
      <c r="Q22" s="240"/>
      <c r="R22" s="240"/>
      <c r="T22" s="239"/>
      <c r="U22" s="239"/>
      <c r="V22" s="235"/>
    </row>
    <row r="23" spans="1:22" s="18" customFormat="1" ht="12.75">
      <c r="A23" s="242"/>
      <c r="B23" s="237"/>
      <c r="C23" s="241"/>
      <c r="D23" s="239"/>
      <c r="K23" s="237"/>
      <c r="L23" s="237"/>
      <c r="M23" s="237"/>
      <c r="N23" s="237"/>
      <c r="O23" s="240"/>
      <c r="P23" s="240"/>
      <c r="Q23" s="240"/>
      <c r="R23" s="240"/>
      <c r="T23" s="239"/>
      <c r="U23" s="239"/>
      <c r="V23" s="235"/>
    </row>
    <row r="24" spans="1:22" s="18" customFormat="1" ht="12.75">
      <c r="A24" s="242"/>
      <c r="B24" s="237"/>
      <c r="C24" s="241"/>
      <c r="D24" s="239"/>
      <c r="K24" s="237"/>
      <c r="L24" s="237"/>
      <c r="M24" s="237"/>
      <c r="N24" s="237"/>
      <c r="O24" s="240"/>
      <c r="P24" s="240"/>
      <c r="Q24" s="240"/>
      <c r="R24" s="240"/>
      <c r="T24" s="239"/>
      <c r="U24" s="239"/>
      <c r="V24" s="235"/>
    </row>
    <row r="25" spans="1:22" s="18" customFormat="1" ht="12.75">
      <c r="A25" s="242"/>
      <c r="B25" s="237"/>
      <c r="C25" s="241"/>
      <c r="D25" s="239"/>
      <c r="K25" s="237"/>
      <c r="L25" s="237"/>
      <c r="M25" s="237"/>
      <c r="N25" s="237"/>
      <c r="O25" s="240"/>
      <c r="P25" s="240"/>
      <c r="Q25" s="240"/>
      <c r="R25" s="240"/>
      <c r="T25" s="239"/>
      <c r="U25" s="239"/>
      <c r="V25" s="235"/>
    </row>
    <row r="26" spans="1:22" s="18" customFormat="1" ht="12.75">
      <c r="A26" s="242"/>
      <c r="B26" s="237"/>
      <c r="C26" s="241"/>
      <c r="D26" s="239"/>
      <c r="K26" s="237"/>
      <c r="L26" s="237"/>
      <c r="M26" s="237"/>
      <c r="N26" s="237"/>
      <c r="O26" s="240"/>
      <c r="P26" s="240"/>
      <c r="Q26" s="240"/>
      <c r="R26" s="240"/>
      <c r="T26" s="239"/>
      <c r="U26" s="239"/>
      <c r="V26" s="235"/>
    </row>
    <row r="27" spans="1:22" s="18" customFormat="1" ht="12.75">
      <c r="A27" s="242"/>
      <c r="B27" s="237"/>
      <c r="C27" s="241"/>
      <c r="D27" s="239"/>
      <c r="K27" s="237"/>
      <c r="L27" s="237"/>
      <c r="M27" s="237"/>
      <c r="N27" s="237"/>
      <c r="O27" s="240"/>
      <c r="P27" s="240"/>
      <c r="Q27" s="240"/>
      <c r="R27" s="240"/>
      <c r="T27" s="239"/>
      <c r="U27" s="239"/>
      <c r="V27" s="235"/>
    </row>
    <row r="28" spans="1:22" s="18" customFormat="1" ht="12.75">
      <c r="A28" s="242"/>
      <c r="B28" s="237"/>
      <c r="C28" s="241"/>
      <c r="D28" s="239"/>
      <c r="K28" s="237"/>
      <c r="L28" s="237"/>
      <c r="M28" s="237"/>
      <c r="N28" s="237"/>
      <c r="O28" s="240"/>
      <c r="P28" s="240"/>
      <c r="Q28" s="240"/>
      <c r="R28" s="240"/>
      <c r="T28" s="239"/>
      <c r="U28" s="239"/>
      <c r="V28" s="235"/>
    </row>
    <row r="29" spans="1:22" s="18" customFormat="1" ht="12.75">
      <c r="A29" s="242"/>
      <c r="B29" s="237"/>
      <c r="C29" s="241"/>
      <c r="D29" s="239"/>
      <c r="K29" s="237"/>
      <c r="L29" s="237"/>
      <c r="M29" s="237"/>
      <c r="N29" s="237"/>
      <c r="O29" s="240"/>
      <c r="P29" s="240"/>
      <c r="Q29" s="240"/>
      <c r="R29" s="240"/>
      <c r="T29" s="239"/>
      <c r="U29" s="239"/>
      <c r="V29" s="235"/>
    </row>
    <row r="30" spans="1:22" s="18" customFormat="1" ht="12.75">
      <c r="A30" s="242"/>
      <c r="B30" s="237"/>
      <c r="C30" s="241"/>
      <c r="D30" s="239"/>
      <c r="K30" s="237"/>
      <c r="L30" s="237"/>
      <c r="M30" s="237"/>
      <c r="N30" s="237"/>
      <c r="O30" s="240"/>
      <c r="P30" s="240"/>
      <c r="Q30" s="240"/>
      <c r="R30" s="240"/>
      <c r="T30" s="239"/>
      <c r="U30" s="239"/>
      <c r="V30" s="235"/>
    </row>
    <row r="31" spans="1:22" s="18" customFormat="1" ht="12.75">
      <c r="A31" s="242"/>
      <c r="B31" s="237"/>
      <c r="C31" s="241"/>
      <c r="D31" s="239"/>
      <c r="K31" s="237"/>
      <c r="L31" s="237"/>
      <c r="M31" s="237"/>
      <c r="N31" s="237"/>
      <c r="O31" s="240"/>
      <c r="P31" s="240"/>
      <c r="Q31" s="240"/>
      <c r="R31" s="240"/>
      <c r="T31" s="239"/>
      <c r="U31" s="239"/>
      <c r="V31" s="235"/>
    </row>
    <row r="32" spans="1:22" s="18" customFormat="1" ht="12.75">
      <c r="A32" s="242"/>
      <c r="B32" s="237"/>
      <c r="C32" s="241"/>
      <c r="D32" s="239"/>
      <c r="K32" s="237"/>
      <c r="L32" s="237"/>
      <c r="M32" s="237"/>
      <c r="N32" s="237"/>
      <c r="O32" s="240"/>
      <c r="P32" s="240"/>
      <c r="Q32" s="240"/>
      <c r="R32" s="240"/>
      <c r="T32" s="239"/>
      <c r="U32" s="239"/>
      <c r="V32" s="235"/>
    </row>
    <row r="33" spans="1:22" s="18" customFormat="1" ht="12.75">
      <c r="A33" s="242"/>
      <c r="B33" s="237"/>
      <c r="C33" s="241"/>
      <c r="D33" s="239"/>
      <c r="K33" s="237"/>
      <c r="L33" s="237"/>
      <c r="M33" s="237"/>
      <c r="N33" s="237"/>
      <c r="O33" s="240"/>
      <c r="P33" s="240"/>
      <c r="Q33" s="240"/>
      <c r="R33" s="240"/>
      <c r="T33" s="239"/>
      <c r="U33" s="239"/>
      <c r="V33" s="235"/>
    </row>
    <row r="34" spans="1:22" s="18" customFormat="1" ht="12.75">
      <c r="A34" s="242"/>
      <c r="B34" s="237"/>
      <c r="C34" s="241"/>
      <c r="D34" s="239"/>
      <c r="J34" s="244"/>
      <c r="K34" s="237"/>
      <c r="L34" s="237"/>
      <c r="M34" s="237"/>
      <c r="N34" s="237"/>
      <c r="O34" s="240"/>
      <c r="P34" s="240"/>
      <c r="Q34" s="240"/>
      <c r="R34" s="240"/>
      <c r="T34" s="239"/>
      <c r="U34" s="239"/>
      <c r="V34" s="235"/>
    </row>
    <row r="35" spans="1:22" s="18" customFormat="1" ht="12.75">
      <c r="A35" s="242"/>
      <c r="B35" s="237"/>
      <c r="C35" s="241"/>
      <c r="D35" s="239"/>
      <c r="K35" s="237"/>
      <c r="L35" s="237"/>
      <c r="M35" s="237"/>
      <c r="N35" s="237"/>
      <c r="O35" s="240"/>
      <c r="P35" s="240"/>
      <c r="Q35" s="240"/>
      <c r="R35" s="240"/>
      <c r="T35" s="239"/>
      <c r="U35" s="239"/>
      <c r="V35" s="235"/>
    </row>
    <row r="36" spans="1:22" s="18" customFormat="1" ht="12.75">
      <c r="A36" s="242"/>
      <c r="B36" s="237"/>
      <c r="C36" s="241"/>
      <c r="D36" s="239"/>
      <c r="K36" s="237"/>
      <c r="L36" s="237"/>
      <c r="M36" s="237"/>
      <c r="N36" s="237"/>
      <c r="O36" s="240"/>
      <c r="P36" s="240"/>
      <c r="Q36" s="240"/>
      <c r="R36" s="240"/>
      <c r="T36" s="239"/>
      <c r="U36" s="239"/>
      <c r="V36" s="235"/>
    </row>
    <row r="37" spans="1:22" s="18" customFormat="1" ht="12.75">
      <c r="A37" s="242"/>
      <c r="B37" s="237"/>
      <c r="C37" s="241"/>
      <c r="D37" s="239"/>
      <c r="K37" s="237"/>
      <c r="L37" s="237"/>
      <c r="M37" s="237"/>
      <c r="N37" s="237"/>
      <c r="O37" s="240"/>
      <c r="P37" s="240"/>
      <c r="Q37" s="240"/>
      <c r="R37" s="240"/>
      <c r="T37" s="239"/>
      <c r="U37" s="239"/>
      <c r="V37" s="235"/>
    </row>
    <row r="38" spans="1:22" s="18" customFormat="1" ht="12.75">
      <c r="A38" s="242"/>
      <c r="B38" s="237"/>
      <c r="C38" s="241"/>
      <c r="D38" s="239"/>
      <c r="K38" s="237"/>
      <c r="L38" s="237"/>
      <c r="M38" s="237"/>
      <c r="N38" s="237"/>
      <c r="O38" s="240"/>
      <c r="P38" s="240"/>
      <c r="Q38" s="240"/>
      <c r="R38" s="240"/>
      <c r="T38" s="239"/>
      <c r="U38" s="239"/>
      <c r="V38" s="235"/>
    </row>
    <row r="39" spans="1:22" s="18" customFormat="1" ht="12.75">
      <c r="A39" s="242"/>
      <c r="B39" s="237"/>
      <c r="C39" s="241"/>
      <c r="D39" s="239"/>
      <c r="K39" s="237"/>
      <c r="L39" s="237"/>
      <c r="M39" s="237"/>
      <c r="N39" s="237"/>
      <c r="O39" s="240"/>
      <c r="P39" s="240"/>
      <c r="Q39" s="240"/>
      <c r="R39" s="240"/>
      <c r="T39" s="239"/>
      <c r="U39" s="239"/>
      <c r="V39" s="235"/>
    </row>
    <row r="40" spans="1:22" s="18" customFormat="1" ht="12.75">
      <c r="A40" s="242"/>
      <c r="B40" s="237"/>
      <c r="C40" s="241"/>
      <c r="D40" s="239"/>
      <c r="K40" s="237"/>
      <c r="L40" s="237"/>
      <c r="M40" s="237"/>
      <c r="N40" s="237"/>
      <c r="O40" s="240"/>
      <c r="P40" s="240"/>
      <c r="Q40" s="240"/>
      <c r="R40" s="240"/>
      <c r="T40" s="239"/>
      <c r="U40" s="239"/>
      <c r="V40" s="235"/>
    </row>
    <row r="41" spans="1:22" s="18" customFormat="1" ht="12.75">
      <c r="A41" s="242"/>
      <c r="B41" s="237"/>
      <c r="C41" s="241"/>
      <c r="D41" s="239"/>
      <c r="K41" s="237"/>
      <c r="L41" s="237"/>
      <c r="M41" s="237"/>
      <c r="N41" s="237"/>
      <c r="O41" s="240"/>
      <c r="P41" s="240"/>
      <c r="Q41" s="240"/>
      <c r="R41" s="240"/>
      <c r="T41" s="239"/>
      <c r="U41" s="239"/>
      <c r="V41" s="235"/>
    </row>
    <row r="42" spans="1:22" s="18" customFormat="1" ht="12.75">
      <c r="A42" s="242"/>
      <c r="B42" s="237"/>
      <c r="C42" s="241"/>
      <c r="D42" s="239"/>
      <c r="K42" s="237"/>
      <c r="L42" s="237"/>
      <c r="M42" s="237"/>
      <c r="N42" s="237"/>
      <c r="O42" s="240"/>
      <c r="P42" s="240"/>
      <c r="Q42" s="240"/>
      <c r="R42" s="240"/>
      <c r="T42" s="239"/>
      <c r="U42" s="239"/>
      <c r="V42" s="235"/>
    </row>
    <row r="43" spans="1:22" s="18" customFormat="1" ht="12.75">
      <c r="A43" s="242"/>
      <c r="B43" s="237"/>
      <c r="C43" s="241"/>
      <c r="D43" s="239"/>
      <c r="K43" s="237"/>
      <c r="L43" s="237"/>
      <c r="M43" s="237"/>
      <c r="N43" s="237"/>
      <c r="O43" s="240"/>
      <c r="P43" s="240"/>
      <c r="Q43" s="240"/>
      <c r="R43" s="240"/>
      <c r="T43" s="239"/>
      <c r="U43" s="239"/>
      <c r="V43" s="235"/>
    </row>
    <row r="44" spans="1:22" s="18" customFormat="1" ht="12.75">
      <c r="A44" s="242"/>
      <c r="B44" s="237"/>
      <c r="C44" s="241"/>
      <c r="D44" s="239"/>
      <c r="K44" s="237"/>
      <c r="L44" s="237"/>
      <c r="M44" s="237"/>
      <c r="N44" s="237"/>
      <c r="O44" s="240"/>
      <c r="P44" s="240"/>
      <c r="Q44" s="240"/>
      <c r="R44" s="240"/>
      <c r="T44" s="239"/>
      <c r="U44" s="239"/>
      <c r="V44" s="235"/>
    </row>
    <row r="45" spans="1:22" s="18" customFormat="1" ht="12.75">
      <c r="A45" s="242"/>
      <c r="B45" s="237"/>
      <c r="C45" s="241"/>
      <c r="D45" s="239"/>
      <c r="K45" s="237"/>
      <c r="L45" s="237"/>
      <c r="M45" s="237"/>
      <c r="N45" s="237"/>
      <c r="O45" s="240"/>
      <c r="P45" s="240"/>
      <c r="Q45" s="240"/>
      <c r="R45" s="240"/>
      <c r="T45" s="239"/>
      <c r="U45" s="239"/>
      <c r="V45" s="235"/>
    </row>
    <row r="46" spans="1:22" s="18" customFormat="1" ht="12.75">
      <c r="A46" s="242"/>
      <c r="B46" s="237"/>
      <c r="C46" s="241"/>
      <c r="D46" s="239"/>
      <c r="K46" s="237"/>
      <c r="L46" s="237"/>
      <c r="M46" s="237"/>
      <c r="N46" s="237"/>
      <c r="O46" s="240"/>
      <c r="P46" s="240"/>
      <c r="Q46" s="240"/>
      <c r="R46" s="240"/>
      <c r="T46" s="239"/>
      <c r="U46" s="239"/>
      <c r="V46" s="235"/>
    </row>
    <row r="47" spans="1:22" s="18" customFormat="1" ht="12.75">
      <c r="A47" s="242"/>
      <c r="B47" s="237"/>
      <c r="C47" s="241"/>
      <c r="D47" s="239"/>
      <c r="K47" s="237"/>
      <c r="L47" s="237"/>
      <c r="M47" s="237"/>
      <c r="N47" s="237"/>
      <c r="O47" s="240"/>
      <c r="P47" s="240"/>
      <c r="Q47" s="240"/>
      <c r="R47" s="240"/>
      <c r="T47" s="239"/>
      <c r="U47" s="239"/>
      <c r="V47" s="235"/>
    </row>
    <row r="48" spans="1:19" ht="12.75">
      <c r="A48" s="152"/>
      <c r="B48" s="156"/>
      <c r="C48" s="152"/>
      <c r="D48" s="157"/>
      <c r="G48" s="155"/>
      <c r="O48" s="96"/>
      <c r="P48" s="96"/>
      <c r="Q48" s="96"/>
      <c r="R48" s="135"/>
      <c r="S48" s="135"/>
    </row>
    <row r="49" spans="1:19" ht="12.75">
      <c r="A49" s="152"/>
      <c r="B49" s="156"/>
      <c r="C49" s="152"/>
      <c r="D49" s="158"/>
      <c r="G49" s="155"/>
      <c r="O49" s="96"/>
      <c r="P49" s="96"/>
      <c r="Q49" s="96"/>
      <c r="R49" s="135"/>
      <c r="S49" s="135"/>
    </row>
    <row r="50" spans="1:19" ht="12.75">
      <c r="A50" s="152"/>
      <c r="B50" s="156"/>
      <c r="C50" s="152"/>
      <c r="D50" s="158"/>
      <c r="G50" s="155"/>
      <c r="O50" s="96"/>
      <c r="P50" s="96"/>
      <c r="Q50" s="96"/>
      <c r="R50" s="135"/>
      <c r="S50" s="135"/>
    </row>
    <row r="51" spans="1:19" ht="12.75">
      <c r="A51" s="152"/>
      <c r="B51" s="156"/>
      <c r="C51" s="152"/>
      <c r="D51" s="152"/>
      <c r="G51" s="155"/>
      <c r="O51" s="96"/>
      <c r="P51" s="96"/>
      <c r="Q51" s="96"/>
      <c r="R51" s="135"/>
      <c r="S51" s="135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2016-07-15T06:11:20Z</cp:lastPrinted>
  <dcterms:created xsi:type="dcterms:W3CDTF">2013-12-21T08:23:27Z</dcterms:created>
  <dcterms:modified xsi:type="dcterms:W3CDTF">2016-07-15T08:57:15Z</dcterms:modified>
  <cp:category/>
  <cp:version/>
  <cp:contentType/>
  <cp:contentStatus/>
</cp:coreProperties>
</file>