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1"/>
  </bookViews>
  <sheets>
    <sheet name="INFORME" sheetId="1" r:id="rId1"/>
    <sheet name="detalle1" sheetId="2" r:id="rId2"/>
    <sheet name="detalle2" sheetId="3" r:id="rId3"/>
    <sheet name="detalle32" sheetId="4" r:id="rId4"/>
  </sheets>
  <definedNames>
    <definedName name="_xlnm.Print_Area" localSheetId="1">'detalle1'!$A$3:$R$126</definedName>
    <definedName name="_xlnm.Print_Area" localSheetId="2">'detalle2'!$A$1:$R$21</definedName>
    <definedName name="_xlnm.Print_Area" localSheetId="3">'detalle32'!$A$3:$P$6</definedName>
  </definedNames>
  <calcPr fullCalcOnLoad="1"/>
</workbook>
</file>

<file path=xl/sharedStrings.xml><?xml version="1.0" encoding="utf-8"?>
<sst xmlns="http://schemas.openxmlformats.org/spreadsheetml/2006/main" count="649" uniqueCount="588">
  <si>
    <t>20 -</t>
  </si>
  <si>
    <t>21 -</t>
  </si>
  <si>
    <t>22 -</t>
  </si>
  <si>
    <t>23 -</t>
  </si>
  <si>
    <t>Inbertsio errealak</t>
  </si>
  <si>
    <t>Gastuak ondasun arruntetan eta zerbitzuetan</t>
  </si>
  <si>
    <t>Aurrekontura aplikatzeko daudenak</t>
  </si>
  <si>
    <t>2X -</t>
  </si>
  <si>
    <t>6X -</t>
  </si>
  <si>
    <t>30 egun edo gutxiago</t>
  </si>
  <si>
    <t>31 eta 60 egun bitartean</t>
  </si>
  <si>
    <t>61 eta 90 egun bitartean</t>
  </si>
  <si>
    <t>90 egun baino gehiago</t>
  </si>
  <si>
    <t>%</t>
  </si>
  <si>
    <t>* 2. eta 6. kapituluari dagozkion fakturak soilik</t>
  </si>
  <si>
    <t>Partida</t>
  </si>
  <si>
    <t>ADO-17</t>
  </si>
  <si>
    <t>ADO-12</t>
  </si>
  <si>
    <t>capit</t>
  </si>
  <si>
    <t>29 -</t>
  </si>
  <si>
    <t>Entidad local:</t>
  </si>
  <si>
    <t>OARSOALDEA</t>
  </si>
  <si>
    <t>1. Pagos realizados en el trimestre. Plazo desde el reconocimiento de la obligación.</t>
  </si>
  <si>
    <t>1.1. Por clasificación económica.</t>
  </si>
  <si>
    <t>Pagos en el trimestre</t>
  </si>
  <si>
    <t>Plazo de pago</t>
  </si>
  <si>
    <t>(promedio de días)</t>
  </si>
  <si>
    <t>Total</t>
  </si>
  <si>
    <t>De las de fuera de plazo</t>
  </si>
  <si>
    <t>Pagos realizados en el trimestre</t>
  </si>
  <si>
    <t>Dentro del plazo legal</t>
  </si>
  <si>
    <t>Fuera del plazo legal</t>
  </si>
  <si>
    <t>Número de pagos</t>
  </si>
  <si>
    <t>Importe total</t>
  </si>
  <si>
    <t>Gasto en bienes corrientes y servicios</t>
  </si>
  <si>
    <t>Arrendamientos y cánones</t>
  </si>
  <si>
    <t>Reparaciones, mantenimiento y conservación</t>
  </si>
  <si>
    <t>Material, suministros y otros</t>
  </si>
  <si>
    <t>Indemnizaciones por razón del servicio</t>
  </si>
  <si>
    <t>Otros</t>
  </si>
  <si>
    <t>Inversiones realez</t>
  </si>
  <si>
    <t>Pagos pendientes de aplicar al presupuesto*</t>
  </si>
  <si>
    <t>Pagos pendientes de aplicar al presupuesto</t>
  </si>
  <si>
    <t>sólo facturas correspondientes a capitulos 2 y 6</t>
  </si>
  <si>
    <t>1.2. Por plazos</t>
  </si>
  <si>
    <t>Numero de días</t>
  </si>
  <si>
    <t>30 días o menos</t>
  </si>
  <si>
    <t>De 31 a 40 días</t>
  </si>
  <si>
    <t>De 51 a 60 días</t>
  </si>
  <si>
    <t>Más de 60 días</t>
  </si>
  <si>
    <t>Pagos realizados</t>
  </si>
  <si>
    <t>Número de facturas</t>
  </si>
  <si>
    <t>2. Facturas pendientes de pago. Plazo dede el reconocimiento de la obligación</t>
  </si>
  <si>
    <t>Facturas y documentos justificativos pendientes de pago al final del trimestre</t>
  </si>
  <si>
    <t>Inversiones reales</t>
  </si>
  <si>
    <t>* sólo facturas correspondientes a capítulos 2 y 6</t>
  </si>
  <si>
    <t>Pendientes de pago al finalizar el trimestre</t>
  </si>
  <si>
    <t>Número de operaciones</t>
  </si>
  <si>
    <t>3. Facturas y documentos justificativos sin obligación reconocida al finalizar el trimestre</t>
  </si>
  <si>
    <t>3.1. Con más de tres meses desde su entrada en registro</t>
  </si>
  <si>
    <t>Facturas y documentos justificativos sin obligación reconocida pasados más de tres meses desde su registro</t>
  </si>
  <si>
    <t>Plazo (promedio de días)</t>
  </si>
  <si>
    <t>Número</t>
  </si>
  <si>
    <t>3.2. Número de días desde su entrada en registro</t>
  </si>
  <si>
    <t>Facturas y documentos justificativos sin obligación reconocida</t>
  </si>
  <si>
    <t>Facturas sin obligación reconocida</t>
  </si>
  <si>
    <t>4. Plazo medio de pago de la entidad (PMP)</t>
  </si>
  <si>
    <t>PMP del trimestre</t>
  </si>
  <si>
    <t>Operaciones pagadas</t>
  </si>
  <si>
    <t>Ratio</t>
  </si>
  <si>
    <t>Importe</t>
  </si>
  <si>
    <t>Operaciones pendientes de pago</t>
  </si>
  <si>
    <t>PMP</t>
  </si>
  <si>
    <t>Observaciones sobre el PMP:</t>
  </si>
  <si>
    <t>INFORMACION SOBRE PLAZOS DE PAGO</t>
  </si>
  <si>
    <t>Ejercicio:</t>
  </si>
  <si>
    <t>Trimestre:</t>
  </si>
  <si>
    <t>optativos</t>
  </si>
  <si>
    <t>obligatorios</t>
  </si>
  <si>
    <t>Facturas pagadas en el trimestre</t>
  </si>
  <si>
    <t>Número expediente</t>
  </si>
  <si>
    <t>Fecha factura</t>
  </si>
  <si>
    <t>Número fra</t>
  </si>
  <si>
    <t>Código.
Tercero</t>
  </si>
  <si>
    <t>Tercero</t>
  </si>
  <si>
    <t>Concepto</t>
  </si>
  <si>
    <t>Fecha registro</t>
  </si>
  <si>
    <t>aceptación</t>
  </si>
  <si>
    <t>pago</t>
  </si>
  <si>
    <t>Fecha descent.</t>
  </si>
  <si>
    <t>Fecha O</t>
  </si>
  <si>
    <t>Fecha P</t>
  </si>
  <si>
    <t>Plazp R
 O</t>
  </si>
  <si>
    <t>Plazo
 O-P</t>
  </si>
  <si>
    <t>Plazo
 R-P</t>
  </si>
  <si>
    <t>Artíc.</t>
  </si>
  <si>
    <t>ponderación 1</t>
  </si>
  <si>
    <t>ponderación 2</t>
  </si>
  <si>
    <t>En plazo</t>
  </si>
  <si>
    <t>ESTO NO RELLENAR</t>
  </si>
  <si>
    <t>Facturas que en el trimestre se han quedado sin pagar (hechas O)</t>
  </si>
  <si>
    <t>Número
 expediente</t>
  </si>
  <si>
    <t>Fecha fra</t>
  </si>
  <si>
    <t>Código
tercero</t>
  </si>
  <si>
    <t>Fecha
 registro</t>
  </si>
  <si>
    <t>Fecha
 Descent.</t>
  </si>
  <si>
    <t>Plazo R-O</t>
  </si>
  <si>
    <t>Plazo
 O
 - fin trim.</t>
  </si>
  <si>
    <t>Plazo
 R 
 - fin trim</t>
  </si>
  <si>
    <t>Fin Trim.</t>
  </si>
  <si>
    <t>optativas</t>
  </si>
  <si>
    <t>obligatorias</t>
  </si>
  <si>
    <t>Facturas que en el trimestre se han quedado sin O</t>
  </si>
  <si>
    <t>Plazo
 R-fin trim</t>
  </si>
  <si>
    <t>Fin trim.</t>
  </si>
  <si>
    <t>2º trimestre</t>
  </si>
  <si>
    <t>FCC1700275</t>
  </si>
  <si>
    <t>3/2017</t>
  </si>
  <si>
    <t>FCC1700288</t>
  </si>
  <si>
    <t>402864</t>
  </si>
  <si>
    <t>FCC1700291</t>
  </si>
  <si>
    <t>BZ7666</t>
  </si>
  <si>
    <t>FCC1700293</t>
  </si>
  <si>
    <t>17/A-021</t>
  </si>
  <si>
    <t>FCC1700297</t>
  </si>
  <si>
    <t>FLGAYB43250</t>
  </si>
  <si>
    <t>FCC1700298</t>
  </si>
  <si>
    <t>FLLAYB56946</t>
  </si>
  <si>
    <t>FCC1700316</t>
  </si>
  <si>
    <t>1704C0542661</t>
  </si>
  <si>
    <t>FCC1700332</t>
  </si>
  <si>
    <t>GTS OBRAS ABRIL 2017</t>
  </si>
  <si>
    <t>FCC1700351</t>
  </si>
  <si>
    <t>012</t>
  </si>
  <si>
    <t>FCC1700352</t>
  </si>
  <si>
    <t>AEU-INV-ES-2017-10003528</t>
  </si>
  <si>
    <t>FCC1700354</t>
  </si>
  <si>
    <t>CB5438</t>
  </si>
  <si>
    <t>FCC1700355</t>
  </si>
  <si>
    <t>A57</t>
  </si>
  <si>
    <t>FCC1700356</t>
  </si>
  <si>
    <t>92-17</t>
  </si>
  <si>
    <t>FCC1700357</t>
  </si>
  <si>
    <t>17-S-1043</t>
  </si>
  <si>
    <t>FCC1700358</t>
  </si>
  <si>
    <t>20170316010428315</t>
  </si>
  <si>
    <t>FCC1700359</t>
  </si>
  <si>
    <t>201704012010378968</t>
  </si>
  <si>
    <t>FCC1700360</t>
  </si>
  <si>
    <t>SI201709111</t>
  </si>
  <si>
    <t>FCC1700361</t>
  </si>
  <si>
    <t>G-13519</t>
  </si>
  <si>
    <t>FCC1700366</t>
  </si>
  <si>
    <t>20170184</t>
  </si>
  <si>
    <t>FCC1700367</t>
  </si>
  <si>
    <t>20170191</t>
  </si>
  <si>
    <t>FCC1700368</t>
  </si>
  <si>
    <t>086</t>
  </si>
  <si>
    <t>FCC1700369</t>
  </si>
  <si>
    <t>43/7</t>
  </si>
  <si>
    <t>FCC1700372</t>
  </si>
  <si>
    <t>08-2017</t>
  </si>
  <si>
    <t>FCC1700373</t>
  </si>
  <si>
    <t>2017056</t>
  </si>
  <si>
    <t>FCC1700374</t>
  </si>
  <si>
    <t>1F020117</t>
  </si>
  <si>
    <t>FCC1700375</t>
  </si>
  <si>
    <t>7000049454</t>
  </si>
  <si>
    <t>FCC1700376</t>
  </si>
  <si>
    <t>20170412010005286</t>
  </si>
  <si>
    <t>FCC1700377</t>
  </si>
  <si>
    <t>20170418010278723</t>
  </si>
  <si>
    <t>FCC1700378</t>
  </si>
  <si>
    <t>20170412010005284</t>
  </si>
  <si>
    <t>FCC1700379</t>
  </si>
  <si>
    <t>7250128380</t>
  </si>
  <si>
    <t>FCC1700380</t>
  </si>
  <si>
    <t>2017/72396</t>
  </si>
  <si>
    <t>FCC1700381</t>
  </si>
  <si>
    <t>6</t>
  </si>
  <si>
    <t>FCC1700382</t>
  </si>
  <si>
    <t>20170208</t>
  </si>
  <si>
    <t>FCC1700383</t>
  </si>
  <si>
    <t>20170207</t>
  </si>
  <si>
    <t>FCC1700384</t>
  </si>
  <si>
    <t>232179</t>
  </si>
  <si>
    <t>FCC1700385</t>
  </si>
  <si>
    <t>232376</t>
  </si>
  <si>
    <t>FCC1700387</t>
  </si>
  <si>
    <t>20170417010006137</t>
  </si>
  <si>
    <t>FCC1700388</t>
  </si>
  <si>
    <t>20170417010166194</t>
  </si>
  <si>
    <t>FCC1700389</t>
  </si>
  <si>
    <t>20170417010282320</t>
  </si>
  <si>
    <t>FCC1700390</t>
  </si>
  <si>
    <t>20170417010494068</t>
  </si>
  <si>
    <t>FCC1700391</t>
  </si>
  <si>
    <t>20170417010494069</t>
  </si>
  <si>
    <t>FCC1700392</t>
  </si>
  <si>
    <t>20170418010125930</t>
  </si>
  <si>
    <t>FCC1700393</t>
  </si>
  <si>
    <t>00 00000157</t>
  </si>
  <si>
    <t>FCC1700395</t>
  </si>
  <si>
    <t>CB5439</t>
  </si>
  <si>
    <t>FCC1700396</t>
  </si>
  <si>
    <t>CB9486</t>
  </si>
  <si>
    <t>FCC1700397</t>
  </si>
  <si>
    <t>403678</t>
  </si>
  <si>
    <t>FCC1700398</t>
  </si>
  <si>
    <t>17130</t>
  </si>
  <si>
    <t>FCC1700399</t>
  </si>
  <si>
    <t>GTS OBRAS MAYO 2017</t>
  </si>
  <si>
    <t>FCC1700400</t>
  </si>
  <si>
    <t>17157</t>
  </si>
  <si>
    <t>FCC1700401</t>
  </si>
  <si>
    <t>20170412010005285</t>
  </si>
  <si>
    <t>FCC1700402</t>
  </si>
  <si>
    <t>170404538/01610</t>
  </si>
  <si>
    <t>FCC1700403</t>
  </si>
  <si>
    <t>17153</t>
  </si>
  <si>
    <t>FCC1700404</t>
  </si>
  <si>
    <t>A/731</t>
  </si>
  <si>
    <t>FCC1700405</t>
  </si>
  <si>
    <t>1705C0530284</t>
  </si>
  <si>
    <t>FCC1700406</t>
  </si>
  <si>
    <t>17-000.080</t>
  </si>
  <si>
    <t>FCC1700407</t>
  </si>
  <si>
    <t>121/17/GIP</t>
  </si>
  <si>
    <t>FCC1700408</t>
  </si>
  <si>
    <t>171226</t>
  </si>
  <si>
    <t>FCC1700409</t>
  </si>
  <si>
    <t>7250128381</t>
  </si>
  <si>
    <t>FCC1700410</t>
  </si>
  <si>
    <t>2017/00309</t>
  </si>
  <si>
    <t>FCC1700411</t>
  </si>
  <si>
    <t>2017/00371</t>
  </si>
  <si>
    <t>FCC1700412</t>
  </si>
  <si>
    <t>A17547</t>
  </si>
  <si>
    <t>FCC1700413</t>
  </si>
  <si>
    <t>4/2017</t>
  </si>
  <si>
    <t>FCC1700414</t>
  </si>
  <si>
    <t>2545</t>
  </si>
  <si>
    <t>FCC1700415</t>
  </si>
  <si>
    <t>BF-076</t>
  </si>
  <si>
    <t>FCC1700416</t>
  </si>
  <si>
    <t>AV17259</t>
  </si>
  <si>
    <t>FCC1700425</t>
  </si>
  <si>
    <t>20170316010428314</t>
  </si>
  <si>
    <t>FCC1700426</t>
  </si>
  <si>
    <t>38</t>
  </si>
  <si>
    <t>FCC1700427</t>
  </si>
  <si>
    <t>425</t>
  </si>
  <si>
    <t>FCC1700428</t>
  </si>
  <si>
    <t>82</t>
  </si>
  <si>
    <t>FCC1700429</t>
  </si>
  <si>
    <t>A17/008867</t>
  </si>
  <si>
    <t>FCC1700430</t>
  </si>
  <si>
    <t>28D780624458</t>
  </si>
  <si>
    <t>FCC1700431</t>
  </si>
  <si>
    <t>TA5LI0088439</t>
  </si>
  <si>
    <t>FCC1700432</t>
  </si>
  <si>
    <t>28-E780-628910</t>
  </si>
  <si>
    <t>FCC1700433</t>
  </si>
  <si>
    <t>TA5LJ0091603</t>
  </si>
  <si>
    <t>FCC1700434</t>
  </si>
  <si>
    <t>20170417010005923</t>
  </si>
  <si>
    <t>FCC1700435</t>
  </si>
  <si>
    <t>FLL AYB74853</t>
  </si>
  <si>
    <t>FCC1700436</t>
  </si>
  <si>
    <t>FLG AYB95645</t>
  </si>
  <si>
    <t>FCC1700437</t>
  </si>
  <si>
    <t>023/2017-E</t>
  </si>
  <si>
    <t>FCC1700438</t>
  </si>
  <si>
    <t>02/2017</t>
  </si>
  <si>
    <t>FCC1700444</t>
  </si>
  <si>
    <t>700.011.004</t>
  </si>
  <si>
    <t>FCC1700445</t>
  </si>
  <si>
    <t>20170515010275047</t>
  </si>
  <si>
    <t>FCC1700446</t>
  </si>
  <si>
    <t>233694</t>
  </si>
  <si>
    <t>FCC1700448</t>
  </si>
  <si>
    <t>A/001410</t>
  </si>
  <si>
    <t>FCC1700449</t>
  </si>
  <si>
    <t>20170237</t>
  </si>
  <si>
    <t>FCC1700450</t>
  </si>
  <si>
    <t>20170526010005655</t>
  </si>
  <si>
    <t>FCC1700451</t>
  </si>
  <si>
    <t>20170526010005654</t>
  </si>
  <si>
    <t>FCC1700452</t>
  </si>
  <si>
    <t>20170515010006078</t>
  </si>
  <si>
    <t>FCC1700453</t>
  </si>
  <si>
    <t>20170515010006077</t>
  </si>
  <si>
    <t>FCC1700454</t>
  </si>
  <si>
    <t>01NP4YD</t>
  </si>
  <si>
    <t>FCC1700455</t>
  </si>
  <si>
    <t>01NPBIF</t>
  </si>
  <si>
    <t>FCC1700456</t>
  </si>
  <si>
    <t>01NPBIG</t>
  </si>
  <si>
    <t>FCC1700457</t>
  </si>
  <si>
    <t>01NPBIH</t>
  </si>
  <si>
    <t>FCC1700458</t>
  </si>
  <si>
    <t>01NPBII</t>
  </si>
  <si>
    <t>FCC1700459</t>
  </si>
  <si>
    <t>01NZAJ5</t>
  </si>
  <si>
    <t>FCC1700460</t>
  </si>
  <si>
    <t>01NZAJ6</t>
  </si>
  <si>
    <t>FCC1700461</t>
  </si>
  <si>
    <t>01NZAJ7</t>
  </si>
  <si>
    <t>FCC1700462</t>
  </si>
  <si>
    <t>01NZAJ8</t>
  </si>
  <si>
    <t>FCC1700463</t>
  </si>
  <si>
    <t>01NZ46K</t>
  </si>
  <si>
    <t>FCC1700464</t>
  </si>
  <si>
    <t>G-13573</t>
  </si>
  <si>
    <t>FCC1700465</t>
  </si>
  <si>
    <t>B/1488829</t>
  </si>
  <si>
    <t>FCC1700466</t>
  </si>
  <si>
    <t>B/1476851</t>
  </si>
  <si>
    <t>FCC1700467</t>
  </si>
  <si>
    <t>12017374545</t>
  </si>
  <si>
    <t>FCC1700468</t>
  </si>
  <si>
    <t>A 40</t>
  </si>
  <si>
    <t>FCC1700469</t>
  </si>
  <si>
    <t>A 41</t>
  </si>
  <si>
    <t>FCC1700470</t>
  </si>
  <si>
    <t>A 48</t>
  </si>
  <si>
    <t>FCC1700471</t>
  </si>
  <si>
    <t>A 61</t>
  </si>
  <si>
    <t>FCC1700472</t>
  </si>
  <si>
    <t>A 62</t>
  </si>
  <si>
    <t>FCC1700473</t>
  </si>
  <si>
    <t>A 63</t>
  </si>
  <si>
    <t>FCC1700474</t>
  </si>
  <si>
    <t>A 64</t>
  </si>
  <si>
    <t>FCC1700481</t>
  </si>
  <si>
    <t>7</t>
  </si>
  <si>
    <t>FCC1700482</t>
  </si>
  <si>
    <t>8</t>
  </si>
  <si>
    <t>FCC1700483</t>
  </si>
  <si>
    <t>7250129309</t>
  </si>
  <si>
    <t>FCC1700484</t>
  </si>
  <si>
    <t>22092/2017</t>
  </si>
  <si>
    <t>FCC1700485</t>
  </si>
  <si>
    <t>17171</t>
  </si>
  <si>
    <t>FCC1700486</t>
  </si>
  <si>
    <t>17-S-1.333</t>
  </si>
  <si>
    <t>FCC1700487</t>
  </si>
  <si>
    <t>69/17</t>
  </si>
  <si>
    <t>FCC1700488</t>
  </si>
  <si>
    <t>1706C0542736</t>
  </si>
  <si>
    <t>FCC1700489</t>
  </si>
  <si>
    <t>18A-17</t>
  </si>
  <si>
    <t>FCC1700490</t>
  </si>
  <si>
    <t>151/17/GIP</t>
  </si>
  <si>
    <t>FCC1700491</t>
  </si>
  <si>
    <t>SI201710650</t>
  </si>
  <si>
    <t>FCC1700492</t>
  </si>
  <si>
    <t>20170517010174308</t>
  </si>
  <si>
    <t>FCC1700493</t>
  </si>
  <si>
    <t>20170515010006210</t>
  </si>
  <si>
    <t>FCC1700494</t>
  </si>
  <si>
    <t>20170517010390630</t>
  </si>
  <si>
    <t>FCC1700495</t>
  </si>
  <si>
    <t>20170517010390631</t>
  </si>
  <si>
    <t>FCC1700496</t>
  </si>
  <si>
    <t>20170526010290777</t>
  </si>
  <si>
    <t>FCC1700497</t>
  </si>
  <si>
    <t>20170526010449367</t>
  </si>
  <si>
    <t>FCC1700498</t>
  </si>
  <si>
    <t>20170529010146040</t>
  </si>
  <si>
    <t>FCC1700499</t>
  </si>
  <si>
    <t>633/2017</t>
  </si>
  <si>
    <t>FCC1700500</t>
  </si>
  <si>
    <t>17198</t>
  </si>
  <si>
    <t>FCC1700501</t>
  </si>
  <si>
    <t>2032017</t>
  </si>
  <si>
    <t>FCC1700502</t>
  </si>
  <si>
    <t>372574</t>
  </si>
  <si>
    <t>FCC1700503</t>
  </si>
  <si>
    <t>P15344</t>
  </si>
  <si>
    <t>FCC1700504</t>
  </si>
  <si>
    <t>7250129310</t>
  </si>
  <si>
    <t>FCC1700505</t>
  </si>
  <si>
    <t>CE3229</t>
  </si>
  <si>
    <t>FCC1700506</t>
  </si>
  <si>
    <t>C00280/2017</t>
  </si>
  <si>
    <t>FCC1700507</t>
  </si>
  <si>
    <t>17.206</t>
  </si>
  <si>
    <t>FCC1700508</t>
  </si>
  <si>
    <t>HA-23305</t>
  </si>
  <si>
    <t>FCC1700509</t>
  </si>
  <si>
    <t>17194</t>
  </si>
  <si>
    <t>FCC1700510</t>
  </si>
  <si>
    <t>7250129308</t>
  </si>
  <si>
    <t>FCC1700511</t>
  </si>
  <si>
    <t>433160/1</t>
  </si>
  <si>
    <t>FCC1700513</t>
  </si>
  <si>
    <t>FV170295</t>
  </si>
  <si>
    <t>FCC1700514</t>
  </si>
  <si>
    <t>A17/010647</t>
  </si>
  <si>
    <t>FCC1700515</t>
  </si>
  <si>
    <t>BF-099</t>
  </si>
  <si>
    <t>FCC1700516</t>
  </si>
  <si>
    <t>17/A-036</t>
  </si>
  <si>
    <t>FCC1700518</t>
  </si>
  <si>
    <t>373289</t>
  </si>
  <si>
    <t>FCC1700519</t>
  </si>
  <si>
    <t>001346</t>
  </si>
  <si>
    <t>FCC1700520</t>
  </si>
  <si>
    <t>357/2017</t>
  </si>
  <si>
    <t>FCC1700521</t>
  </si>
  <si>
    <t>G-13598</t>
  </si>
  <si>
    <t>FCC1700522</t>
  </si>
  <si>
    <t>0301705FV0161</t>
  </si>
  <si>
    <t>FCC1700526</t>
  </si>
  <si>
    <t>5/2017</t>
  </si>
  <si>
    <t>FCC1700527</t>
  </si>
  <si>
    <t>FLG AYC11940</t>
  </si>
  <si>
    <t>FCC1700528</t>
  </si>
  <si>
    <t>FLL AYC46288</t>
  </si>
  <si>
    <t>FCC1700529</t>
  </si>
  <si>
    <t>FLG AYC50663</t>
  </si>
  <si>
    <t>FCC1700530</t>
  </si>
  <si>
    <t>A6001375493</t>
  </si>
  <si>
    <t>FCC1700531</t>
  </si>
  <si>
    <t>20170614010006377</t>
  </si>
  <si>
    <t>FCC1700532</t>
  </si>
  <si>
    <t>20170615010302367</t>
  </si>
  <si>
    <t>FCC1700533</t>
  </si>
  <si>
    <t>61/17</t>
  </si>
  <si>
    <t>FCC1700535</t>
  </si>
  <si>
    <t>201706160101006672</t>
  </si>
  <si>
    <t>FCC1700536</t>
  </si>
  <si>
    <t>20170616010104259</t>
  </si>
  <si>
    <t>FCC1700537</t>
  </si>
  <si>
    <t>20170615010404828</t>
  </si>
  <si>
    <t>FCC1700538</t>
  </si>
  <si>
    <t>20170615010404827</t>
  </si>
  <si>
    <t>FCC1700539</t>
  </si>
  <si>
    <t>20170615010404826</t>
  </si>
  <si>
    <t>FCC1700540</t>
  </si>
  <si>
    <t>20170615010250720</t>
  </si>
  <si>
    <t>FCC1700541</t>
  </si>
  <si>
    <t>20170615010160348</t>
  </si>
  <si>
    <t>FCC1700542</t>
  </si>
  <si>
    <t>20170614010006521</t>
  </si>
  <si>
    <t>FCC1700544</t>
  </si>
  <si>
    <t>28-F780-620181</t>
  </si>
  <si>
    <t>FCC1700545</t>
  </si>
  <si>
    <t>TA5LK0084891</t>
  </si>
  <si>
    <t>FCC1700546</t>
  </si>
  <si>
    <t>1º TRIMESTRE 2017</t>
  </si>
  <si>
    <t>FCC1700547</t>
  </si>
  <si>
    <t>171467</t>
  </si>
  <si>
    <t>FCC1700549</t>
  </si>
  <si>
    <t>20170613010005744</t>
  </si>
  <si>
    <t>FCC1700550</t>
  </si>
  <si>
    <t>17-453</t>
  </si>
  <si>
    <t>FCC1700551</t>
  </si>
  <si>
    <t>A 75</t>
  </si>
  <si>
    <t>FCC1700552</t>
  </si>
  <si>
    <t>171612</t>
  </si>
  <si>
    <t>FCC1700555</t>
  </si>
  <si>
    <t>3/170002742</t>
  </si>
  <si>
    <t>FCC1700556</t>
  </si>
  <si>
    <t>12017463490</t>
  </si>
  <si>
    <t>FCC1700557</t>
  </si>
  <si>
    <t>B/1510469</t>
  </si>
  <si>
    <t>FCC1700558</t>
  </si>
  <si>
    <t>B/1514538</t>
  </si>
  <si>
    <t>FCC1700589</t>
  </si>
  <si>
    <t>17213</t>
  </si>
  <si>
    <t>FCC1700592</t>
  </si>
  <si>
    <t>00 00000241</t>
  </si>
  <si>
    <t>FCC1700593</t>
  </si>
  <si>
    <t>053-0006-246704</t>
  </si>
  <si>
    <t>FCC1700594</t>
  </si>
  <si>
    <t>053-0006-246711</t>
  </si>
  <si>
    <t>FCC1700595</t>
  </si>
  <si>
    <t>053-0006-247390</t>
  </si>
  <si>
    <t>FCC1700596</t>
  </si>
  <si>
    <t>053-0006-247611</t>
  </si>
  <si>
    <t>FCC1700597</t>
  </si>
  <si>
    <t>053-0006-247680</t>
  </si>
  <si>
    <t>FCC1700598</t>
  </si>
  <si>
    <t>053-0006-247791</t>
  </si>
  <si>
    <t>FCC1700599</t>
  </si>
  <si>
    <t>7540-0054364</t>
  </si>
  <si>
    <t>FCC1700600</t>
  </si>
  <si>
    <t>7540-0054244</t>
  </si>
  <si>
    <t>FCC1700601</t>
  </si>
  <si>
    <t>7529-0146492</t>
  </si>
  <si>
    <t>FCC1700604</t>
  </si>
  <si>
    <t>0301705FV0197</t>
  </si>
  <si>
    <t>FCC1700605</t>
  </si>
  <si>
    <t>0108YP4</t>
  </si>
  <si>
    <t>FCC1700606</t>
  </si>
  <si>
    <t>0108LLE</t>
  </si>
  <si>
    <t>FCC1700607</t>
  </si>
  <si>
    <t>0108LLD</t>
  </si>
  <si>
    <t>FCC1700608</t>
  </si>
  <si>
    <t>0108LLC</t>
  </si>
  <si>
    <t>FCC1700609</t>
  </si>
  <si>
    <t>0108LLB</t>
  </si>
  <si>
    <t>FCC1700615</t>
  </si>
  <si>
    <t>17240</t>
  </si>
  <si>
    <t>FCC1700617</t>
  </si>
  <si>
    <t>0301705FV0198</t>
  </si>
  <si>
    <t>FCC1700618</t>
  </si>
  <si>
    <t>201701258</t>
  </si>
  <si>
    <t>FCC1700620</t>
  </si>
  <si>
    <t>2916581874905</t>
  </si>
  <si>
    <t>FCC1700622</t>
  </si>
  <si>
    <t>17236</t>
  </si>
  <si>
    <t>FCC1700627</t>
  </si>
  <si>
    <t>GTS OBRAS JUNIO 2017</t>
  </si>
  <si>
    <t>FCC1700517</t>
  </si>
  <si>
    <t>H17/473</t>
  </si>
  <si>
    <t>FCC1700523</t>
  </si>
  <si>
    <t>700.011.262</t>
  </si>
  <si>
    <t>FCC1700567</t>
  </si>
  <si>
    <t>17-S-1,622</t>
  </si>
  <si>
    <t>FCC1700575</t>
  </si>
  <si>
    <t>FV17-00294</t>
  </si>
  <si>
    <t>FCC1700613</t>
  </si>
  <si>
    <t>B/1519294</t>
  </si>
  <si>
    <t>FCC1700386</t>
  </si>
  <si>
    <t>25623</t>
  </si>
  <si>
    <t>FCC1700394</t>
  </si>
  <si>
    <t>2248</t>
  </si>
  <si>
    <t>FCC1700524</t>
  </si>
  <si>
    <t>17/000759</t>
  </si>
  <si>
    <t>FCC1700525</t>
  </si>
  <si>
    <t>174128</t>
  </si>
  <si>
    <t>FCC1700548</t>
  </si>
  <si>
    <t>00 00000242</t>
  </si>
  <si>
    <t>FCC1700559</t>
  </si>
  <si>
    <t>F06</t>
  </si>
  <si>
    <t>FCC1700560</t>
  </si>
  <si>
    <t>DV-FACTURA/2017/0059</t>
  </si>
  <si>
    <t>FCC1700561</t>
  </si>
  <si>
    <t>031/2017-E</t>
  </si>
  <si>
    <t>FCC1700562</t>
  </si>
  <si>
    <t>13-2017</t>
  </si>
  <si>
    <t>FCC1700563</t>
  </si>
  <si>
    <t>7250130416</t>
  </si>
  <si>
    <t>FCC1700564</t>
  </si>
  <si>
    <t>03/2017</t>
  </si>
  <si>
    <t>FCC1700565</t>
  </si>
  <si>
    <t>805/2017</t>
  </si>
  <si>
    <t>FCC1700566</t>
  </si>
  <si>
    <t>22113/2017</t>
  </si>
  <si>
    <t>FCC1700571</t>
  </si>
  <si>
    <t>A 76</t>
  </si>
  <si>
    <t>FCC1700572</t>
  </si>
  <si>
    <t>A 77</t>
  </si>
  <si>
    <t>FCC1700573</t>
  </si>
  <si>
    <t>A 96</t>
  </si>
  <si>
    <t>FCC1700574</t>
  </si>
  <si>
    <t>A 97</t>
  </si>
  <si>
    <t>FCC1700576</t>
  </si>
  <si>
    <t>ZFV17-00001</t>
  </si>
  <si>
    <t>FCC1700577</t>
  </si>
  <si>
    <t>681</t>
  </si>
  <si>
    <t>FCC1700586</t>
  </si>
  <si>
    <t>374094</t>
  </si>
  <si>
    <t>FCC1700587</t>
  </si>
  <si>
    <t>20170629030284117</t>
  </si>
  <si>
    <t>FCC1700588</t>
  </si>
  <si>
    <t>20170629030284118</t>
  </si>
  <si>
    <t>FCC1700590</t>
  </si>
  <si>
    <t>7250130093</t>
  </si>
  <si>
    <t>FCC1700591</t>
  </si>
  <si>
    <t>25789</t>
  </si>
  <si>
    <t>FCC1700614</t>
  </si>
  <si>
    <t>17.051</t>
  </si>
  <si>
    <t>FCC1700616</t>
  </si>
  <si>
    <t>06-17</t>
  </si>
  <si>
    <t>FCC1700623</t>
  </si>
  <si>
    <t>205/17/GIP</t>
  </si>
  <si>
    <t>FCC1700625</t>
  </si>
  <si>
    <t>17/20170843</t>
  </si>
  <si>
    <t>FCC1700629</t>
  </si>
  <si>
    <t>9</t>
  </si>
  <si>
    <t>FCC1700630</t>
  </si>
  <si>
    <t>16B-857</t>
  </si>
  <si>
    <t>FCC1700631</t>
  </si>
  <si>
    <t>LIQUID. GTS 2º TRIM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</si>
</sst>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6" borderId="4" applyNumberFormat="0" applyAlignment="0" applyProtection="0"/>
    <xf numFmtId="9" fontId="0" fillId="0" borderId="0" applyFill="0" applyBorder="0" applyAlignment="0" applyProtection="0"/>
    <xf numFmtId="0" fontId="46" fillId="0" borderId="5" applyNumberFormat="0" applyFill="0" applyAlignment="0" applyProtection="0"/>
    <xf numFmtId="0" fontId="47" fillId="27" borderId="0" applyNumberFormat="0" applyBorder="0" applyAlignment="0" applyProtection="0"/>
    <xf numFmtId="0" fontId="48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9" fillId="28" borderId="7" applyNumberFormat="0" applyAlignment="0" applyProtection="0"/>
    <xf numFmtId="0" fontId="50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32" borderId="8" applyNumberFormat="0" applyAlignment="0" applyProtection="0"/>
    <xf numFmtId="0" fontId="55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" fontId="4" fillId="42" borderId="0" xfId="0" applyNumberFormat="1" applyFont="1" applyFill="1" applyAlignment="1">
      <alignment/>
    </xf>
    <xf numFmtId="173" fontId="4" fillId="42" borderId="0" xfId="0" applyNumberFormat="1" applyFont="1" applyFill="1" applyAlignment="1">
      <alignment horizontal="center" wrapText="1"/>
    </xf>
    <xf numFmtId="0" fontId="4" fillId="42" borderId="0" xfId="0" applyFont="1" applyFill="1" applyAlignment="1">
      <alignment/>
    </xf>
    <xf numFmtId="0" fontId="9" fillId="41" borderId="0" xfId="0" applyFont="1" applyFill="1" applyAlignment="1">
      <alignment/>
    </xf>
    <xf numFmtId="0" fontId="2" fillId="41" borderId="0" xfId="0" applyFont="1" applyFill="1" applyAlignment="1">
      <alignment/>
    </xf>
    <xf numFmtId="173" fontId="2" fillId="41" borderId="0" xfId="0" applyNumberFormat="1" applyFont="1" applyFill="1" applyAlignment="1">
      <alignment/>
    </xf>
    <xf numFmtId="4" fontId="2" fillId="41" borderId="0" xfId="53" applyNumberFormat="1" applyFont="1" applyFill="1" applyAlignment="1">
      <alignment/>
    </xf>
    <xf numFmtId="3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0" fontId="4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4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4" fontId="0" fillId="0" borderId="0" xfId="60" applyNumberFormat="1" applyFont="1">
      <alignment/>
      <protection/>
    </xf>
    <xf numFmtId="0" fontId="17" fillId="0" borderId="0" xfId="0" applyFont="1" applyFill="1" applyAlignment="1">
      <alignment/>
    </xf>
    <xf numFmtId="49" fontId="0" fillId="0" borderId="0" xfId="61" applyNumberFormat="1" applyFont="1">
      <alignment/>
      <protection/>
    </xf>
    <xf numFmtId="49" fontId="0" fillId="0" borderId="0" xfId="61" applyNumberFormat="1">
      <alignment/>
      <protection/>
    </xf>
    <xf numFmtId="14" fontId="0" fillId="0" borderId="0" xfId="61" applyNumberFormat="1">
      <alignment/>
      <protection/>
    </xf>
    <xf numFmtId="4" fontId="0" fillId="0" borderId="0" xfId="61" applyNumberFormat="1">
      <alignment/>
      <protection/>
    </xf>
    <xf numFmtId="49" fontId="0" fillId="0" borderId="0" xfId="61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60" applyNumberFormat="1" applyFont="1">
      <alignment/>
      <protection/>
    </xf>
    <xf numFmtId="49" fontId="39" fillId="0" borderId="0" xfId="58" applyNumberFormat="1">
      <alignment/>
      <protection/>
    </xf>
    <xf numFmtId="14" fontId="0" fillId="0" borderId="0" xfId="60" applyNumberFormat="1" applyFont="1">
      <alignment/>
      <protection/>
    </xf>
    <xf numFmtId="49" fontId="56" fillId="0" borderId="0" xfId="58" applyNumberFormat="1" applyFont="1">
      <alignment/>
      <protection/>
    </xf>
    <xf numFmtId="4" fontId="56" fillId="0" borderId="0" xfId="58" applyNumberFormat="1" applyFont="1">
      <alignment/>
      <protection/>
    </xf>
    <xf numFmtId="4" fontId="0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9" fontId="0" fillId="0" borderId="0" xfId="61" applyNumberFormat="1" applyFont="1">
      <alignment/>
      <protection/>
    </xf>
    <xf numFmtId="173" fontId="18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58" applyNumberFormat="1" applyFont="1">
      <alignment/>
      <protection/>
    </xf>
    <xf numFmtId="49" fontId="37" fillId="0" borderId="0" xfId="58" applyNumberFormat="1" applyFont="1">
      <alignment/>
      <protection/>
    </xf>
    <xf numFmtId="4" fontId="37" fillId="0" borderId="0" xfId="58" applyNumberFormat="1" applyFont="1">
      <alignment/>
      <protection/>
    </xf>
    <xf numFmtId="49" fontId="57" fillId="0" borderId="0" xfId="58" applyNumberFormat="1" applyFont="1">
      <alignment/>
      <protection/>
    </xf>
    <xf numFmtId="4" fontId="57" fillId="0" borderId="0" xfId="58" applyNumberFormat="1" applyFont="1">
      <alignment/>
      <protection/>
    </xf>
    <xf numFmtId="49" fontId="0" fillId="0" borderId="0" xfId="60" applyNumberFormat="1" applyFont="1" applyFill="1">
      <alignment/>
      <protection/>
    </xf>
    <xf numFmtId="49" fontId="0" fillId="0" borderId="0" xfId="60" applyNumberFormat="1" applyFont="1">
      <alignment/>
      <protection/>
    </xf>
    <xf numFmtId="14" fontId="1" fillId="0" borderId="0" xfId="59" applyNumberFormat="1" applyFont="1" applyFill="1" applyAlignment="1">
      <alignment horizontal="center" wrapText="1"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14" fontId="57" fillId="0" borderId="0" xfId="58" applyNumberFormat="1" applyFont="1">
      <alignment/>
      <protection/>
    </xf>
    <xf numFmtId="14" fontId="37" fillId="0" borderId="0" xfId="58" applyNumberFormat="1" applyFont="1">
      <alignment/>
      <protection/>
    </xf>
    <xf numFmtId="0" fontId="4" fillId="37" borderId="48" xfId="0" applyFont="1" applyFill="1" applyBorder="1" applyAlignment="1">
      <alignment horizontal="center" wrapText="1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4" fillId="37" borderId="52" xfId="0" applyFont="1" applyFill="1" applyBorder="1" applyAlignment="1">
      <alignment horizontal="center" wrapText="1"/>
    </xf>
    <xf numFmtId="0" fontId="4" fillId="37" borderId="53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4" fillId="44" borderId="50" xfId="0" applyFont="1" applyFill="1" applyBorder="1" applyAlignment="1">
      <alignment horizontal="right"/>
    </xf>
    <xf numFmtId="0" fontId="4" fillId="44" borderId="32" xfId="0" applyFont="1" applyFill="1" applyBorder="1" applyAlignment="1">
      <alignment horizontal="right"/>
    </xf>
    <xf numFmtId="0" fontId="4" fillId="44" borderId="30" xfId="0" applyFont="1" applyFill="1" applyBorder="1" applyAlignment="1">
      <alignment horizontal="right"/>
    </xf>
    <xf numFmtId="0" fontId="2" fillId="40" borderId="57" xfId="0" applyFont="1" applyFill="1" applyBorder="1" applyAlignment="1">
      <alignment horizontal="left" vertical="top" wrapText="1"/>
    </xf>
    <xf numFmtId="0" fontId="2" fillId="40" borderId="58" xfId="0" applyFont="1" applyFill="1" applyBorder="1" applyAlignment="1">
      <alignment horizontal="left" vertical="top" wrapText="1"/>
    </xf>
    <xf numFmtId="0" fontId="4" fillId="44" borderId="59" xfId="0" applyFont="1" applyFill="1" applyBorder="1" applyAlignment="1">
      <alignment horizontal="right"/>
    </xf>
    <xf numFmtId="0" fontId="4" fillId="44" borderId="60" xfId="0" applyFont="1" applyFill="1" applyBorder="1" applyAlignment="1">
      <alignment horizontal="right"/>
    </xf>
    <xf numFmtId="0" fontId="4" fillId="44" borderId="61" xfId="0" applyFont="1" applyFill="1" applyBorder="1" applyAlignment="1">
      <alignment horizontal="right"/>
    </xf>
    <xf numFmtId="0" fontId="4" fillId="37" borderId="62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5" xfId="0" applyFont="1" applyBorder="1" applyAlignment="1">
      <alignment/>
    </xf>
    <xf numFmtId="0" fontId="4" fillId="37" borderId="62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64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44" borderId="66" xfId="0" applyFont="1" applyFill="1" applyBorder="1" applyAlignment="1">
      <alignment horizontal="right"/>
    </xf>
    <xf numFmtId="0" fontId="4" fillId="44" borderId="34" xfId="0" applyFont="1" applyFill="1" applyBorder="1" applyAlignment="1">
      <alignment horizontal="right"/>
    </xf>
    <xf numFmtId="0" fontId="4" fillId="44" borderId="67" xfId="0" applyFont="1" applyFill="1" applyBorder="1" applyAlignment="1">
      <alignment horizontal="right"/>
    </xf>
    <xf numFmtId="0" fontId="4" fillId="37" borderId="63" xfId="0" applyFont="1" applyFill="1" applyBorder="1" applyAlignment="1">
      <alignment horizontal="center" vertical="center" wrapText="1"/>
    </xf>
    <xf numFmtId="0" fontId="4" fillId="37" borderId="65" xfId="0" applyFont="1" applyFill="1" applyBorder="1" applyAlignment="1">
      <alignment horizontal="center" vertical="center" wrapText="1"/>
    </xf>
    <xf numFmtId="0" fontId="4" fillId="37" borderId="68" xfId="0" applyFont="1" applyFill="1" applyBorder="1" applyAlignment="1">
      <alignment horizontal="center"/>
    </xf>
    <xf numFmtId="0" fontId="4" fillId="37" borderId="69" xfId="0" applyFont="1" applyFill="1" applyBorder="1" applyAlignment="1">
      <alignment horizontal="center"/>
    </xf>
    <xf numFmtId="0" fontId="4" fillId="38" borderId="70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71" xfId="0" applyFont="1" applyFill="1" applyBorder="1" applyAlignment="1">
      <alignment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7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44" borderId="73" xfId="0" applyFont="1" applyFill="1" applyBorder="1" applyAlignment="1">
      <alignment horizontal="right"/>
    </xf>
    <xf numFmtId="0" fontId="4" fillId="44" borderId="74" xfId="0" applyFont="1" applyFill="1" applyBorder="1" applyAlignment="1">
      <alignment horizontal="right"/>
    </xf>
    <xf numFmtId="0" fontId="4" fillId="44" borderId="75" xfId="0" applyFont="1" applyFill="1" applyBorder="1" applyAlignment="1">
      <alignment horizontal="right"/>
    </xf>
    <xf numFmtId="0" fontId="4" fillId="38" borderId="76" xfId="0" applyFont="1" applyFill="1" applyBorder="1" applyAlignment="1">
      <alignment horizontal="right"/>
    </xf>
    <xf numFmtId="0" fontId="4" fillId="38" borderId="77" xfId="0" applyFont="1" applyFill="1" applyBorder="1" applyAlignment="1">
      <alignment horizontal="right"/>
    </xf>
    <xf numFmtId="2" fontId="9" fillId="0" borderId="19" xfId="0" applyNumberFormat="1" applyFont="1" applyBorder="1" applyAlignment="1">
      <alignment horizontal="center"/>
    </xf>
    <xf numFmtId="0" fontId="12" fillId="45" borderId="71" xfId="0" applyFont="1" applyFill="1" applyBorder="1" applyAlignment="1">
      <alignment horizontal="center"/>
    </xf>
    <xf numFmtId="0" fontId="12" fillId="45" borderId="54" xfId="0" applyFont="1" applyFill="1" applyBorder="1" applyAlignment="1">
      <alignment horizontal="center"/>
    </xf>
    <xf numFmtId="0" fontId="12" fillId="45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</cellXfs>
  <cellStyles count="53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Normala_xehet1" xfId="60"/>
    <cellStyle name="Normala_xehet32" xfId="61"/>
    <cellStyle name="Oharra" xfId="62"/>
    <cellStyle name="Ohar-testua" xfId="63"/>
    <cellStyle name="Ondo" xfId="64"/>
    <cellStyle name="Sarrera" xfId="65"/>
    <cellStyle name="Titulua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zoomScalePageLayoutView="0" workbookViewId="0" topLeftCell="A64">
      <selection activeCell="F100" sqref="F100"/>
    </sheetView>
  </sheetViews>
  <sheetFormatPr defaultColWidth="9.140625" defaultRowHeight="12.75" customHeight="1"/>
  <cols>
    <col min="1" max="1" width="3.140625" style="2" customWidth="1"/>
    <col min="2" max="2" width="11.71093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241">
        <f>SUMSQ(D27:I27,D39:F40,D59:I59,D72:F72,D82:F83,E91:H91)</f>
        <v>8087506885.120196</v>
      </c>
      <c r="B1" s="241"/>
    </row>
    <row r="2" spans="1:9" s="42" customFormat="1" ht="15.75" customHeight="1">
      <c r="A2" s="242" t="s">
        <v>74</v>
      </c>
      <c r="B2" s="243"/>
      <c r="C2" s="243"/>
      <c r="D2" s="243"/>
      <c r="E2" s="243"/>
      <c r="F2" s="243"/>
      <c r="G2" s="243"/>
      <c r="H2" s="243"/>
      <c r="I2" s="244"/>
    </row>
    <row r="3" spans="1:9" s="42" customFormat="1" ht="15.75" customHeight="1">
      <c r="A3" s="43"/>
      <c r="B3" s="44"/>
      <c r="C3" s="45" t="s">
        <v>20</v>
      </c>
      <c r="D3" s="245" t="s">
        <v>21</v>
      </c>
      <c r="E3" s="245"/>
      <c r="F3" s="245"/>
      <c r="G3" s="245"/>
      <c r="H3" s="44"/>
      <c r="I3" s="46"/>
    </row>
    <row r="4" spans="1:9" s="42" customFormat="1" ht="15.75" customHeight="1">
      <c r="A4" s="43"/>
      <c r="B4" s="44"/>
      <c r="C4" s="47" t="s">
        <v>75</v>
      </c>
      <c r="D4" s="48">
        <v>2017</v>
      </c>
      <c r="E4" s="49"/>
      <c r="F4" s="44"/>
      <c r="G4" s="44"/>
      <c r="H4" s="44"/>
      <c r="I4" s="46"/>
    </row>
    <row r="5" spans="1:9" s="42" customFormat="1" ht="15.75" customHeight="1">
      <c r="A5" s="50"/>
      <c r="B5" s="51"/>
      <c r="C5" s="52" t="s">
        <v>76</v>
      </c>
      <c r="D5" s="53" t="s">
        <v>115</v>
      </c>
      <c r="E5" s="54"/>
      <c r="F5" s="51"/>
      <c r="G5" s="51"/>
      <c r="H5" s="51"/>
      <c r="I5" s="55"/>
    </row>
    <row r="6" spans="1:9" ht="12.75" customHeight="1">
      <c r="A6" s="19"/>
      <c r="B6" s="19"/>
      <c r="C6" s="20"/>
      <c r="D6" s="21"/>
      <c r="E6" s="21"/>
      <c r="F6" s="19"/>
      <c r="G6" s="19"/>
      <c r="H6" s="19"/>
      <c r="I6" s="19"/>
    </row>
    <row r="7" spans="1:9" ht="12.75" customHeight="1">
      <c r="A7" s="19"/>
      <c r="B7" s="19"/>
      <c r="C7" s="20"/>
      <c r="D7" s="21"/>
      <c r="E7" s="21"/>
      <c r="F7" s="19"/>
      <c r="G7" s="19"/>
      <c r="H7" s="19"/>
      <c r="I7" s="19"/>
    </row>
    <row r="9" s="42" customFormat="1" ht="15.75">
      <c r="A9" s="41" t="s">
        <v>22</v>
      </c>
    </row>
    <row r="10" ht="12.75" customHeight="1">
      <c r="A10" s="4"/>
    </row>
    <row r="11" ht="12.75" customHeight="1">
      <c r="A11" s="4"/>
    </row>
    <row r="12" s="18" customFormat="1" ht="13.5" thickBot="1">
      <c r="A12" s="1" t="s">
        <v>23</v>
      </c>
    </row>
    <row r="13" spans="1:9" ht="12.75" customHeight="1">
      <c r="A13" s="200" t="s">
        <v>24</v>
      </c>
      <c r="B13" s="201"/>
      <c r="C13" s="214"/>
      <c r="D13" s="216" t="s">
        <v>25</v>
      </c>
      <c r="E13" s="217"/>
      <c r="F13" s="228" t="s">
        <v>29</v>
      </c>
      <c r="G13" s="229"/>
      <c r="H13" s="229"/>
      <c r="I13" s="230"/>
    </row>
    <row r="14" spans="1:9" ht="12.75" customHeight="1">
      <c r="A14" s="203"/>
      <c r="B14" s="204"/>
      <c r="C14" s="215"/>
      <c r="D14" s="231" t="s">
        <v>26</v>
      </c>
      <c r="E14" s="232"/>
      <c r="F14" s="233" t="s">
        <v>30</v>
      </c>
      <c r="G14" s="234"/>
      <c r="H14" s="234" t="s">
        <v>31</v>
      </c>
      <c r="I14" s="235"/>
    </row>
    <row r="15" spans="1:9" ht="22.5">
      <c r="A15" s="203"/>
      <c r="B15" s="204"/>
      <c r="C15" s="215"/>
      <c r="D15" s="63" t="s">
        <v>27</v>
      </c>
      <c r="E15" s="23" t="s">
        <v>28</v>
      </c>
      <c r="F15" s="60" t="s">
        <v>32</v>
      </c>
      <c r="G15" s="22" t="s">
        <v>33</v>
      </c>
      <c r="H15" s="22" t="s">
        <v>32</v>
      </c>
      <c r="I15" s="74" t="s">
        <v>33</v>
      </c>
    </row>
    <row r="16" spans="1:9" ht="12.75" customHeight="1">
      <c r="A16" s="221" t="s">
        <v>34</v>
      </c>
      <c r="B16" s="222"/>
      <c r="C16" s="222"/>
      <c r="D16" s="64">
        <f>IF(G16+I16=0,0,(D17*(G17+I17)+D18*(G18+I18)+D19*(G19+I19)+D20*(G20+I20)+D21*(G21+I21))/(G16+I16))</f>
        <v>0</v>
      </c>
      <c r="E16" s="65">
        <f>IF(I16=0,0,(E17*I17+E18*I18+E19*I19+E20*I20+E21*I21)/I16)</f>
        <v>0</v>
      </c>
      <c r="F16" s="61">
        <f>SUM(F17:F21)</f>
        <v>198</v>
      </c>
      <c r="G16" s="24">
        <f>SUM(G17:G21)</f>
        <v>119555.06</v>
      </c>
      <c r="H16" s="25">
        <f>SUM(H17:H21)</f>
        <v>0</v>
      </c>
      <c r="I16" s="95">
        <f>SUM(I17:I21)</f>
        <v>0</v>
      </c>
    </row>
    <row r="17" spans="1:9" ht="12.75" customHeight="1">
      <c r="A17" s="98"/>
      <c r="B17" s="99" t="s">
        <v>0</v>
      </c>
      <c r="C17" s="19" t="s">
        <v>35</v>
      </c>
      <c r="D17" s="66">
        <f>IF(F17+H17=0,0,SUMIF(detalle1!S:S,20,detalle1!T:T)/SUMIF(detalle1!S:S,20,detalle1!D:D))</f>
        <v>0</v>
      </c>
      <c r="E17" s="38">
        <f>IF(H17=0,0,SUMIF(detalle1!V:V,220,detalle1!T:T)/SUMIF(detalle1!V:V,220,detalle1!D:D))</f>
        <v>0</v>
      </c>
      <c r="F17" s="39">
        <f>COUNTIF(detalle1!V:V,120)</f>
        <v>9</v>
      </c>
      <c r="G17" s="26">
        <f>SUMIF(detalle1!V:V,120,detalle1!D:D)</f>
        <v>1670.4499999999998</v>
      </c>
      <c r="H17" s="27">
        <f>COUNTIF(detalle1!V:V,220)</f>
        <v>0</v>
      </c>
      <c r="I17" s="85">
        <f>SUMIF(detalle1!V:V,220,detalle1!D:D)</f>
        <v>0</v>
      </c>
    </row>
    <row r="18" spans="1:9" ht="12.75" customHeight="1">
      <c r="A18" s="98"/>
      <c r="B18" s="99" t="s">
        <v>1</v>
      </c>
      <c r="C18" s="19" t="s">
        <v>36</v>
      </c>
      <c r="D18" s="66">
        <f>IF(F18+H18=0,0,SUMIF(detalle1!S:S,21,detalle1!T:T)/SUMIF(detalle1!S:S,21,detalle1!D:D))</f>
        <v>0</v>
      </c>
      <c r="E18" s="38">
        <f>IF(H18=0,0,SUMIF(detalle1!V:V,221,detalle1!T:T)/SUMIF(detalle1!V:V,221,detalle1!D:D))</f>
        <v>0</v>
      </c>
      <c r="F18" s="39">
        <f>COUNTIF(detalle1!V:V,121)</f>
        <v>25</v>
      </c>
      <c r="G18" s="26">
        <f>SUMIF(detalle1!V:V,121,detalle1!D:D)</f>
        <v>5437.569999999999</v>
      </c>
      <c r="H18" s="27">
        <f>COUNTIF(detalle1!V:V,221)</f>
        <v>0</v>
      </c>
      <c r="I18" s="85">
        <f>SUMIF(detalle1!V:V,221,detalle1!D:D)</f>
        <v>0</v>
      </c>
    </row>
    <row r="19" spans="1:9" ht="12.75" customHeight="1">
      <c r="A19" s="98"/>
      <c r="B19" s="99" t="s">
        <v>2</v>
      </c>
      <c r="C19" s="19" t="s">
        <v>37</v>
      </c>
      <c r="D19" s="66">
        <f>IF(F19+H19=0,0,SUMIF(detalle1!S:S,22,detalle1!T:T)/SUMIF(detalle1!S:S,22,detalle1!D:D))</f>
        <v>0</v>
      </c>
      <c r="E19" s="38">
        <f>IF(H19=0,0,SUMIF(detalle1!V:V,222,detalle1!T:T)/SUMIF(detalle1!V:V,222,detalle1!D:D))</f>
        <v>0</v>
      </c>
      <c r="F19" s="39">
        <f>COUNTIF(detalle1!V:V,122)</f>
        <v>24</v>
      </c>
      <c r="G19" s="26">
        <f>SUMIF(detalle1!V:V,122,detalle1!D:D)</f>
        <v>1957.8999999999999</v>
      </c>
      <c r="H19" s="27">
        <f>COUNTIF(detalle1!V:V,222)</f>
        <v>0</v>
      </c>
      <c r="I19" s="85">
        <f>SUMIF(detalle1!V:V,222,detalle1!D:D)</f>
        <v>0</v>
      </c>
    </row>
    <row r="20" spans="1:9" ht="12.75" customHeight="1">
      <c r="A20" s="98"/>
      <c r="B20" s="99" t="s">
        <v>3</v>
      </c>
      <c r="C20" s="19" t="s">
        <v>38</v>
      </c>
      <c r="D20" s="66">
        <f>IF(F20+H20=0,0,SUMIF(detalle1!S:S,23,detalle1!T:T)/SUMIF(detalle1!S:S,23,detalle1!D:D))</f>
        <v>0</v>
      </c>
      <c r="E20" s="38">
        <f>IF(H20=0,0,SUMIF(detalle1!V:V,223,detalle1!T:T)/SUMIF(detalle1!V:V,223,detalle1!D:D))</f>
        <v>0</v>
      </c>
      <c r="F20" s="39">
        <f>COUNTIF(detalle1!V:V,123)</f>
        <v>0</v>
      </c>
      <c r="G20" s="26">
        <f>SUMIF(detalle1!V:V,123,detalle1!D:D)</f>
        <v>0</v>
      </c>
      <c r="H20" s="27">
        <f>COUNTIF(detalle1!V:V,223)</f>
        <v>0</v>
      </c>
      <c r="I20" s="85">
        <f>SUMIF(detalle1!V:V,223,detalle1!D:D)</f>
        <v>0</v>
      </c>
    </row>
    <row r="21" spans="1:9" ht="12.75" customHeight="1">
      <c r="A21" s="98"/>
      <c r="B21" s="99" t="s">
        <v>7</v>
      </c>
      <c r="C21" s="19" t="s">
        <v>39</v>
      </c>
      <c r="D21" s="66">
        <f>IF(F21+H21=0,0,SUMIF(detalle1!S:S,29,detalle1!T:T)/SUMIF(detalle1!S:S,29,detalle1!D:D))</f>
        <v>0</v>
      </c>
      <c r="E21" s="38">
        <f>IF(H21=0,0,SUMIF(detalle1!V:V,229,detalle1!T:T)/SUMIF(detalle1!V:V,229,detalle1!D:D))</f>
        <v>0</v>
      </c>
      <c r="F21" s="39">
        <f>COUNTIF(detalle1!V:V,129)</f>
        <v>140</v>
      </c>
      <c r="G21" s="26">
        <f>SUMIF(detalle1!V:V,129,detalle1!D:D)</f>
        <v>110489.14</v>
      </c>
      <c r="H21" s="27">
        <f>COUNTIF(detalle1!V:V,229)</f>
        <v>0</v>
      </c>
      <c r="I21" s="85">
        <f>SUMIF(detalle1!V:V,229,detalle1!D:D)</f>
        <v>0</v>
      </c>
    </row>
    <row r="22" spans="1:9" ht="12.75" customHeight="1">
      <c r="A22" s="221" t="s">
        <v>40</v>
      </c>
      <c r="B22" s="222"/>
      <c r="C22" s="222"/>
      <c r="D22" s="64">
        <f aca="true" t="shared" si="0" ref="D22:I22">D23</f>
        <v>0</v>
      </c>
      <c r="E22" s="65">
        <f t="shared" si="0"/>
        <v>0</v>
      </c>
      <c r="F22" s="62">
        <f t="shared" si="0"/>
        <v>2</v>
      </c>
      <c r="G22" s="29">
        <f t="shared" si="0"/>
        <v>236.60000000000002</v>
      </c>
      <c r="H22" s="28">
        <f t="shared" si="0"/>
        <v>0</v>
      </c>
      <c r="I22" s="95">
        <f t="shared" si="0"/>
        <v>0</v>
      </c>
    </row>
    <row r="23" spans="1:9" ht="12.75" customHeight="1">
      <c r="A23" s="98"/>
      <c r="B23" s="100" t="s">
        <v>8</v>
      </c>
      <c r="C23" s="101" t="s">
        <v>54</v>
      </c>
      <c r="D23" s="66">
        <f>IF(F23+H23=0,0,SUMIF(detalle1!S:S,69,detalle1!T:T)/SUMIF(detalle1!S:S,69,detalle1!D:D))</f>
        <v>0</v>
      </c>
      <c r="E23" s="38">
        <f>IF(H23=0,0,SUMIF(detalle1!V:V,269,detalle1!T:T)/SUMIF(detalle1!V:V,269,detalle1!D:D))</f>
        <v>0</v>
      </c>
      <c r="F23" s="39">
        <f>COUNTIF(detalle1!V:V,169)</f>
        <v>2</v>
      </c>
      <c r="G23" s="26">
        <f>SUMIF(detalle1!V:V,169,detalle1!D:D)</f>
        <v>236.60000000000002</v>
      </c>
      <c r="H23" s="27">
        <f>COUNTIF(detalle1!V:V,269)</f>
        <v>0</v>
      </c>
      <c r="I23" s="85">
        <f>SUMIF(detalle1!V:V,269,detalle1!D:D)</f>
        <v>0</v>
      </c>
    </row>
    <row r="24" spans="1:9" ht="12.75" customHeight="1">
      <c r="A24" s="221" t="s">
        <v>41</v>
      </c>
      <c r="B24" s="222"/>
      <c r="C24" s="222"/>
      <c r="D24" s="64">
        <f aca="true" t="shared" si="1" ref="D24:I24">D25</f>
        <v>0</v>
      </c>
      <c r="E24" s="65">
        <f t="shared" si="1"/>
        <v>0</v>
      </c>
      <c r="F24" s="62">
        <f t="shared" si="1"/>
        <v>0</v>
      </c>
      <c r="G24" s="29">
        <f t="shared" si="1"/>
        <v>0</v>
      </c>
      <c r="H24" s="28">
        <f t="shared" si="1"/>
        <v>0</v>
      </c>
      <c r="I24" s="95">
        <f t="shared" si="1"/>
        <v>0</v>
      </c>
    </row>
    <row r="25" spans="1:9" ht="12.75" customHeight="1">
      <c r="A25" s="98"/>
      <c r="B25" s="184" t="s">
        <v>42</v>
      </c>
      <c r="C25" s="184"/>
      <c r="D25" s="106"/>
      <c r="E25" s="107"/>
      <c r="F25" s="108"/>
      <c r="G25" s="109"/>
      <c r="H25" s="110"/>
      <c r="I25" s="111"/>
    </row>
    <row r="26" spans="1:9" ht="12.75" customHeight="1" thickBot="1">
      <c r="A26" s="239" t="s">
        <v>27</v>
      </c>
      <c r="B26" s="240"/>
      <c r="C26" s="240"/>
      <c r="D26" s="75">
        <f>IF(G26+I26=0,0,(D16*(G16+I16)+D22*(G22+I22)+D24*(G24+I24))/(G26+I26))</f>
        <v>0</v>
      </c>
      <c r="E26" s="76">
        <f>IF(I26=0,0,(E16*I16+E22*I22+E24*I24)/I26)</f>
        <v>0</v>
      </c>
      <c r="F26" s="77">
        <f>F16+F22+F24</f>
        <v>200</v>
      </c>
      <c r="G26" s="78">
        <f>G16+G22+G24</f>
        <v>119791.66</v>
      </c>
      <c r="H26" s="79">
        <f>H16+H22+H24</f>
        <v>0</v>
      </c>
      <c r="I26" s="82">
        <f>I16+I22+I24</f>
        <v>0</v>
      </c>
    </row>
    <row r="27" spans="1:9" ht="12.75" customHeight="1">
      <c r="A27" s="2" t="s">
        <v>14</v>
      </c>
      <c r="C27" s="2" t="s">
        <v>43</v>
      </c>
      <c r="D27" s="72">
        <f>IF(SUM(detalle1!D:D)=0,0,SUM(detalle1!T:T)/SUM(detalle1!D:D))-IF((G16+I16+G22+I22)=0,0,(D16*(G16+I16)+D22*(G22+I22))/(G16+I16+G22+I22))</f>
        <v>0</v>
      </c>
      <c r="E27" s="72">
        <f>IF(SUMIF(detalle1!V:V,"&gt;199",detalle1!D:D)=0,0,SUMIF(detalle1!V:V,"&gt;199",detalle1!T:T)/SUMIF(detalle1!V:V,"&gt;199",detalle1!D:D))-IF(I16+I22=0,0,(E16*I16+E22*I22)/(I16+I22))</f>
        <v>0</v>
      </c>
      <c r="F27" s="72">
        <f>COUNTIF(detalle1!P:P,"&lt;=30")-F26+F25</f>
        <v>0</v>
      </c>
      <c r="G27" s="72">
        <f>SUMIF(detalle1!P:P,"&lt;=30",detalle1!D:D)-G26+G25</f>
        <v>-2.9103830456733704E-11</v>
      </c>
      <c r="H27" s="72">
        <f>COUNTIF(detalle1!P:P,"&gt;30")-H26+H25</f>
        <v>0</v>
      </c>
      <c r="I27" s="72">
        <f>SUMIF(detalle1!P:P,"&gt;30",detalle1!D:D)-I26+I25</f>
        <v>0</v>
      </c>
    </row>
    <row r="28" spans="4:9" ht="12.75" customHeight="1">
      <c r="D28" s="34"/>
      <c r="E28" s="34"/>
      <c r="F28" s="34"/>
      <c r="G28" s="34"/>
      <c r="H28" s="34"/>
      <c r="I28" s="34"/>
    </row>
    <row r="29" spans="4:9" ht="12.75" customHeight="1">
      <c r="D29" s="34"/>
      <c r="E29" s="34"/>
      <c r="F29" s="34"/>
      <c r="G29" s="34"/>
      <c r="H29" s="34"/>
      <c r="I29" s="34"/>
    </row>
    <row r="30" ht="13.5" thickBot="1">
      <c r="A30" s="1" t="s">
        <v>44</v>
      </c>
    </row>
    <row r="31" spans="1:7" ht="12.75" customHeight="1">
      <c r="A31" s="200" t="s">
        <v>45</v>
      </c>
      <c r="B31" s="201"/>
      <c r="C31" s="202"/>
      <c r="D31" s="206" t="s">
        <v>50</v>
      </c>
      <c r="E31" s="207"/>
      <c r="F31" s="207"/>
      <c r="G31" s="208"/>
    </row>
    <row r="32" spans="1:7" ht="12.75" customHeight="1">
      <c r="A32" s="203"/>
      <c r="B32" s="204"/>
      <c r="C32" s="205"/>
      <c r="D32" s="60" t="s">
        <v>51</v>
      </c>
      <c r="E32" s="22" t="s">
        <v>13</v>
      </c>
      <c r="F32" s="22" t="s">
        <v>33</v>
      </c>
      <c r="G32" s="74" t="s">
        <v>13</v>
      </c>
    </row>
    <row r="33" spans="1:7" ht="12.75" customHeight="1">
      <c r="A33" s="98"/>
      <c r="B33" s="209" t="s">
        <v>46</v>
      </c>
      <c r="C33" s="210"/>
      <c r="D33" s="70">
        <f>COUNTIF(detalle1!P:P,"&lt;=30")+F25</f>
        <v>200</v>
      </c>
      <c r="E33" s="32">
        <f>IF($D$38=0,0,D33*100/$D$38)</f>
        <v>100</v>
      </c>
      <c r="F33" s="32">
        <f>SUMIF(detalle1!P:P,"&lt;=30",detalle1!D:D)+G25</f>
        <v>119791.65999999997</v>
      </c>
      <c r="G33" s="112">
        <f>IF($F$38=0,0,F33*100/$F$38)</f>
        <v>100</v>
      </c>
    </row>
    <row r="34" spans="1:7" ht="12.75" customHeight="1">
      <c r="A34" s="98"/>
      <c r="B34" s="182" t="s">
        <v>47</v>
      </c>
      <c r="C34" s="183"/>
      <c r="D34" s="71">
        <f>COUNTIF(detalle1!P:P,"&lt;=40")-D33+F25+IF(AND(E25&gt;30,E25&lt;=40),H25)</f>
        <v>0</v>
      </c>
      <c r="E34" s="26">
        <f>IF($D$38=0,0,D34*100/$D$38)</f>
        <v>0</v>
      </c>
      <c r="F34" s="26">
        <f>SUMIF(detalle1!P:P,"&lt;=40",detalle1!D:D)-F33+G25+IF(AND(E25&gt;30,E25&lt;=40),I25)</f>
        <v>0</v>
      </c>
      <c r="G34" s="85">
        <f>IF($F$38=0,0,F34*100/$F$38)</f>
        <v>0</v>
      </c>
    </row>
    <row r="35" spans="1:7" ht="12.75" customHeight="1">
      <c r="A35" s="98"/>
      <c r="B35" s="102" t="s">
        <v>48</v>
      </c>
      <c r="C35" s="103"/>
      <c r="D35" s="71">
        <f>COUNTIF(detalle1!P:P,"&lt;=50")-SUM(D33:D34)+F25+IF(E25&lt;=50,H25)</f>
        <v>0</v>
      </c>
      <c r="E35" s="26">
        <f>IF($D$38=0,0,D35*100/$D$38)</f>
        <v>0</v>
      </c>
      <c r="F35" s="26">
        <f>SUMIF(detalle1!P:P,"&lt;=50",detalle1!D:D)-SUM(F33:F34)+G25+IF(E25&lt;=50,I25)</f>
        <v>0</v>
      </c>
      <c r="G35" s="85">
        <f>IF($F$38=0,0,F35*100/$F$38)</f>
        <v>0</v>
      </c>
    </row>
    <row r="36" spans="1:7" ht="12.75" customHeight="1">
      <c r="A36" s="98"/>
      <c r="B36" s="209" t="s">
        <v>47</v>
      </c>
      <c r="C36" s="210"/>
      <c r="D36" s="71">
        <f>COUNTIF(detalle1!P:P,"&lt;=60")-SUM(D33:D35)+F25+IF(E25&lt;=60,H25)</f>
        <v>0</v>
      </c>
      <c r="E36" s="26">
        <f>IF($D$38=0,0,D36*100/$D$38)</f>
        <v>0</v>
      </c>
      <c r="F36" s="26">
        <f>SUMIF(detalle1!P:P,"&lt;=60",detalle1!D:D)-SUM(F33:F35)+G25+IF(E25&lt;=60,I25)</f>
        <v>0</v>
      </c>
      <c r="G36" s="85">
        <f>IF($F$38=0,0,F36*100/$F$38)</f>
        <v>0</v>
      </c>
    </row>
    <row r="37" spans="1:7" ht="12.75" customHeight="1">
      <c r="A37" s="104"/>
      <c r="B37" s="184" t="s">
        <v>49</v>
      </c>
      <c r="C37" s="185"/>
      <c r="D37" s="94">
        <f>COUNTIF(detalle1!P:P,"&gt;60")+IF(E25&gt;60,H25)</f>
        <v>0</v>
      </c>
      <c r="E37" s="26">
        <f>IF($D$38=0,0,D37*100/$D$38)</f>
        <v>0</v>
      </c>
      <c r="F37" s="30">
        <f>SUMIF(detalle1!P:P,"&gt;60",detalle1!D:D)+IF(E25&gt;60,I25)</f>
        <v>0</v>
      </c>
      <c r="G37" s="85">
        <f>IF($F$38=0,0,F37*100/$F$38)</f>
        <v>0</v>
      </c>
    </row>
    <row r="38" spans="1:7" ht="12.75" customHeight="1" thickBot="1">
      <c r="A38" s="236" t="s">
        <v>27</v>
      </c>
      <c r="B38" s="237"/>
      <c r="C38" s="238"/>
      <c r="D38" s="80">
        <f>SUM(D33:D37)</f>
        <v>200</v>
      </c>
      <c r="E38" s="81">
        <f>SUM(E33:E37)</f>
        <v>100</v>
      </c>
      <c r="F38" s="81">
        <f>SUM(F33:F37)</f>
        <v>119791.65999999997</v>
      </c>
      <c r="G38" s="82">
        <f>SUM(G33:G37)</f>
        <v>100</v>
      </c>
    </row>
    <row r="39" spans="1:6" ht="12.75" customHeight="1">
      <c r="A39" s="33"/>
      <c r="B39" s="33"/>
      <c r="C39" s="33"/>
      <c r="D39" s="72">
        <f>COUNT(detalle1!D:D)-D38+F25+H25</f>
        <v>0</v>
      </c>
      <c r="E39" s="72"/>
      <c r="F39" s="72">
        <f>SUM(detalle1!D:D)-F38+G25+I25</f>
        <v>0</v>
      </c>
    </row>
    <row r="40" spans="1:6" ht="12.75" customHeight="1">
      <c r="A40" s="33"/>
      <c r="B40" s="33"/>
      <c r="C40" s="33"/>
      <c r="D40" s="72">
        <f>F26+H26-D38</f>
        <v>0</v>
      </c>
      <c r="E40" s="72"/>
      <c r="F40" s="72">
        <f>G26+I26-F38</f>
        <v>0</v>
      </c>
    </row>
    <row r="41" spans="1:6" ht="12.75" customHeight="1">
      <c r="A41" s="33"/>
      <c r="B41" s="33"/>
      <c r="C41" s="33"/>
      <c r="D41" s="19"/>
      <c r="E41" s="19"/>
      <c r="F41" s="34"/>
    </row>
    <row r="42" s="42" customFormat="1" ht="15.75">
      <c r="A42" s="41" t="s">
        <v>52</v>
      </c>
    </row>
    <row r="43" ht="12.75" customHeight="1">
      <c r="A43" s="4"/>
    </row>
    <row r="44" ht="12.75" customHeight="1" thickBot="1">
      <c r="A44" s="4"/>
    </row>
    <row r="45" spans="1:9" ht="12.75" customHeight="1">
      <c r="A45" s="200" t="s">
        <v>53</v>
      </c>
      <c r="B45" s="201"/>
      <c r="C45" s="214"/>
      <c r="D45" s="216" t="s">
        <v>25</v>
      </c>
      <c r="E45" s="217"/>
      <c r="F45" s="228" t="s">
        <v>56</v>
      </c>
      <c r="G45" s="229"/>
      <c r="H45" s="229"/>
      <c r="I45" s="230"/>
    </row>
    <row r="46" spans="1:9" ht="12.75" customHeight="1">
      <c r="A46" s="203"/>
      <c r="B46" s="204"/>
      <c r="C46" s="215"/>
      <c r="D46" s="231" t="s">
        <v>26</v>
      </c>
      <c r="E46" s="232"/>
      <c r="F46" s="233" t="s">
        <v>30</v>
      </c>
      <c r="G46" s="234"/>
      <c r="H46" s="234" t="s">
        <v>31</v>
      </c>
      <c r="I46" s="235"/>
    </row>
    <row r="47" spans="1:9" ht="22.5">
      <c r="A47" s="203"/>
      <c r="B47" s="204"/>
      <c r="C47" s="215"/>
      <c r="D47" s="63" t="s">
        <v>27</v>
      </c>
      <c r="E47" s="23" t="s">
        <v>28</v>
      </c>
      <c r="F47" s="60" t="s">
        <v>57</v>
      </c>
      <c r="G47" s="22" t="s">
        <v>33</v>
      </c>
      <c r="H47" s="22" t="str">
        <f>+F47</f>
        <v>Número de operaciones</v>
      </c>
      <c r="I47" s="74" t="str">
        <f>+G47</f>
        <v>Importe total</v>
      </c>
    </row>
    <row r="48" spans="1:9" ht="12.75" customHeight="1">
      <c r="A48" s="218" t="s">
        <v>34</v>
      </c>
      <c r="B48" s="219"/>
      <c r="C48" s="220"/>
      <c r="D48" s="64">
        <f>IF(G48+I48=0,0,(D49*(G49+I49)+D50*(G50+I50)+D51*(G51+I51)+D52*(G52+I52)+D53*(G53+I53))/(G48+I48))</f>
        <v>0</v>
      </c>
      <c r="E48" s="65">
        <f>IF(I48=0,0,(E49*I49+E50*I50+E51*I51+E52*I52+E53*I53)/I48)</f>
        <v>0</v>
      </c>
      <c r="F48" s="61">
        <f>SUM(F49:F53)</f>
        <v>0</v>
      </c>
      <c r="G48" s="24">
        <f>SUM(G49:G53)</f>
        <v>0</v>
      </c>
      <c r="H48" s="25">
        <f>SUM(H49:H53)</f>
        <v>0</v>
      </c>
      <c r="I48" s="95">
        <f>SUM(I49:I53)</f>
        <v>0</v>
      </c>
    </row>
    <row r="49" spans="1:9" ht="12.75" customHeight="1">
      <c r="A49" s="98"/>
      <c r="B49" s="99" t="s">
        <v>0</v>
      </c>
      <c r="C49" s="19" t="str">
        <f>+C17</f>
        <v>Arrendamientos y cánones</v>
      </c>
      <c r="D49" s="66">
        <f>IF(F49+H49=0,0,SUMIF(detalle2!S:S,20,detalle2!T:T)/SUMIF(detalle2!S:S,20,detalle2!D:D))</f>
        <v>0</v>
      </c>
      <c r="E49" s="38">
        <f>IF(H49=0,0,SUMIF(detalle2!V:V,220,detalle2!T:T)/SUMIF(detalle2!V:V,220,detalle2!D:D))</f>
        <v>0</v>
      </c>
      <c r="F49" s="39">
        <f>COUNTIF(detalle2!V:V,120)</f>
        <v>0</v>
      </c>
      <c r="G49" s="26">
        <f>SUMIF(detalle2!V:V,120,detalle2!D:D)</f>
        <v>0</v>
      </c>
      <c r="H49" s="27">
        <f>COUNTIF(detalle2!V:V,220)</f>
        <v>0</v>
      </c>
      <c r="I49" s="85">
        <f>SUMIF(detalle2!V:V,220,detalle2!D:D)</f>
        <v>0</v>
      </c>
    </row>
    <row r="50" spans="1:9" ht="12.75" customHeight="1">
      <c r="A50" s="98"/>
      <c r="B50" s="99" t="s">
        <v>1</v>
      </c>
      <c r="C50" s="19" t="str">
        <f>+C18</f>
        <v>Reparaciones, mantenimiento y conservación</v>
      </c>
      <c r="D50" s="66">
        <f>IF(F50+H50=0,0,SUMIF(detalle2!S:S,21,detalle2!T:T)/SUMIF(detalle2!S:S,21,detalle2!D:D))</f>
        <v>0</v>
      </c>
      <c r="E50" s="38">
        <f>IF(H50=0,0,SUMIF(detalle2!V:V,221,detalle2!T:T)/SUMIF(detalle2!V:V,221,detalle2!D:D))</f>
        <v>0</v>
      </c>
      <c r="F50" s="39">
        <f>COUNTIF(detalle2!V:V,121)</f>
        <v>0</v>
      </c>
      <c r="G50" s="26">
        <f>SUMIF(detalle2!V:V,121,detalle2!D:D)</f>
        <v>0</v>
      </c>
      <c r="H50" s="27">
        <f>COUNTIF(detalle2!V:V,221)</f>
        <v>0</v>
      </c>
      <c r="I50" s="85">
        <f>SUMIF(detalle2!V:V,221,detalle2!D:D)</f>
        <v>0</v>
      </c>
    </row>
    <row r="51" spans="1:9" ht="12.75" customHeight="1">
      <c r="A51" s="98"/>
      <c r="B51" s="99" t="s">
        <v>2</v>
      </c>
      <c r="C51" s="19" t="str">
        <f>+C19</f>
        <v>Material, suministros y otros</v>
      </c>
      <c r="D51" s="66">
        <f>IF(F51+H51=0,0,SUMIF(detalle2!S:S,22,detalle2!T:T)/SUMIF(detalle2!S:S,22,detalle2!D:D))</f>
        <v>0</v>
      </c>
      <c r="E51" s="38">
        <f>IF(H51=0,0,SUMIF(detalle2!V:V,222,detalle2!T:T)/SUMIF(detalle2!V:V,222,detalle2!D:D))</f>
        <v>0</v>
      </c>
      <c r="F51" s="39">
        <f>COUNTIF(detalle2!V:V,122)</f>
        <v>0</v>
      </c>
      <c r="G51" s="26">
        <f>SUMIF(detalle2!V:V,122,detalle2!D:D)</f>
        <v>0</v>
      </c>
      <c r="H51" s="27">
        <f>COUNTIF(detalle2!V:V,222)</f>
        <v>0</v>
      </c>
      <c r="I51" s="85">
        <f>SUMIF(detalle2!V:V,222,detalle2!D:D)</f>
        <v>0</v>
      </c>
    </row>
    <row r="52" spans="1:9" ht="12.75" customHeight="1">
      <c r="A52" s="98"/>
      <c r="B52" s="99" t="s">
        <v>3</v>
      </c>
      <c r="C52" s="19" t="str">
        <f>+C20</f>
        <v>Indemnizaciones por razón del servicio</v>
      </c>
      <c r="D52" s="66">
        <f>IF(F52+H52=0,0,SUMIF(detalle2!S:S,23,detalle2!T:T)/SUMIF(detalle2!S:S,23,detalle2!D:D))</f>
        <v>0</v>
      </c>
      <c r="E52" s="38">
        <f>IF(H52=0,0,SUMIF(detalle2!V:V,223,detalle2!T:T)/SUMIF(detalle2!V:V,223,detalle2!D:D))</f>
        <v>0</v>
      </c>
      <c r="F52" s="39">
        <f>COUNTIF(detalle2!V:V,123)</f>
        <v>0</v>
      </c>
      <c r="G52" s="26">
        <f>SUMIF(detalle2!V:V,123,detalle2!D:D)</f>
        <v>0</v>
      </c>
      <c r="H52" s="27">
        <f>COUNTIF(detalle2!V:V,223)</f>
        <v>0</v>
      </c>
      <c r="I52" s="85">
        <f>SUMIF(detalle2!V:V,223,detalle2!D:D)</f>
        <v>0</v>
      </c>
    </row>
    <row r="53" spans="1:9" ht="12.75" customHeight="1">
      <c r="A53" s="98"/>
      <c r="B53" s="99" t="s">
        <v>19</v>
      </c>
      <c r="C53" s="19" t="str">
        <f>+C21</f>
        <v>Otros</v>
      </c>
      <c r="D53" s="66">
        <f>IF(F53+H53=0,0,SUMIF(detalle2!S:S,29,detalle2!T:T)/SUMIF(detalle2!S:S,29,detalle2!D:D))</f>
        <v>0</v>
      </c>
      <c r="E53" s="38">
        <f>IF(H53=0,0,SUMIF(detalle2!V:V,229,detalle2!T:T)/SUMIF(detalle2!V:V,229,detalle2!D:D))</f>
        <v>0</v>
      </c>
      <c r="F53" s="39">
        <f>COUNTIF(detalle2!V:V,129)</f>
        <v>0</v>
      </c>
      <c r="G53" s="26">
        <f>SUMIF(detalle2!V:V,129,detalle2!D:D)</f>
        <v>0</v>
      </c>
      <c r="H53" s="27">
        <f>COUNTIF(detalle2!V:V,229)</f>
        <v>0</v>
      </c>
      <c r="I53" s="85">
        <f>SUMIF(detalle2!V:V,229,detalle2!D:D)</f>
        <v>0</v>
      </c>
    </row>
    <row r="54" spans="1:9" ht="12.75" customHeight="1">
      <c r="A54" s="221" t="s">
        <v>54</v>
      </c>
      <c r="B54" s="222"/>
      <c r="C54" s="222"/>
      <c r="D54" s="64">
        <f aca="true" t="shared" si="2" ref="D54:I54">D55</f>
        <v>0</v>
      </c>
      <c r="E54" s="65">
        <f t="shared" si="2"/>
        <v>0</v>
      </c>
      <c r="F54" s="62">
        <f t="shared" si="2"/>
        <v>0</v>
      </c>
      <c r="G54" s="29">
        <f t="shared" si="2"/>
        <v>0</v>
      </c>
      <c r="H54" s="28">
        <f t="shared" si="2"/>
        <v>0</v>
      </c>
      <c r="I54" s="95">
        <f t="shared" si="2"/>
        <v>0</v>
      </c>
    </row>
    <row r="55" spans="1:9" ht="12.75" customHeight="1">
      <c r="A55" s="98"/>
      <c r="B55" s="133">
        <v>69</v>
      </c>
      <c r="C55" s="101" t="str">
        <f>+C23</f>
        <v>Inversiones reales</v>
      </c>
      <c r="D55" s="66">
        <f>IF(F55+H55=0,0,SUMIF(detalle2!S:S,69,detalle2!T:T)/SUMIF(detalle2!S:S,69,detalle2!D:D))</f>
        <v>0</v>
      </c>
      <c r="E55" s="38">
        <f>IF(H55=0,0,SUMIF(detalle2!V:V,269,detalle2!T:T)/SUMIF(detalle2!V:V,269,detalle2!D:D))</f>
        <v>0</v>
      </c>
      <c r="F55" s="39">
        <f>COUNTIF(detalle2!V:V,169)</f>
        <v>0</v>
      </c>
      <c r="G55" s="26">
        <f>SUMIF(detalle2!V:V,169,detalle2!D:D)</f>
        <v>0</v>
      </c>
      <c r="H55" s="27">
        <f>COUNTIF(detalle2!V:V,269)</f>
        <v>0</v>
      </c>
      <c r="I55" s="85">
        <f>SUMIF(detalle2!V:V,269,detalle2!D:D)</f>
        <v>0</v>
      </c>
    </row>
    <row r="56" spans="1:9" ht="12.75" customHeight="1">
      <c r="A56" s="223" t="str">
        <f>+A24</f>
        <v>Pagos pendientes de aplicar al presupuesto*</v>
      </c>
      <c r="B56" s="224"/>
      <c r="C56" s="225"/>
      <c r="D56" s="64">
        <f aca="true" t="shared" si="3" ref="D56:I56">D57</f>
        <v>0</v>
      </c>
      <c r="E56" s="65">
        <f t="shared" si="3"/>
        <v>0</v>
      </c>
      <c r="F56" s="62">
        <f t="shared" si="3"/>
        <v>0</v>
      </c>
      <c r="G56" s="29">
        <f t="shared" si="3"/>
        <v>0</v>
      </c>
      <c r="H56" s="28">
        <f t="shared" si="3"/>
        <v>0</v>
      </c>
      <c r="I56" s="95">
        <f t="shared" si="3"/>
        <v>0</v>
      </c>
    </row>
    <row r="57" spans="1:9" ht="12.75" customHeight="1">
      <c r="A57" s="98"/>
      <c r="B57" s="226" t="str">
        <f>+B25</f>
        <v>Pagos pendientes de aplicar al presupuesto</v>
      </c>
      <c r="C57" s="227"/>
      <c r="D57" s="106"/>
      <c r="E57" s="107"/>
      <c r="F57" s="108"/>
      <c r="G57" s="109"/>
      <c r="H57" s="110"/>
      <c r="I57" s="111"/>
    </row>
    <row r="58" spans="1:9" ht="12.75" customHeight="1" thickBot="1">
      <c r="A58" s="211" t="str">
        <f>+A26</f>
        <v>Total</v>
      </c>
      <c r="B58" s="212"/>
      <c r="C58" s="213"/>
      <c r="D58" s="75">
        <f>IF(G58+I58=0,0,(D48*(G48+I48)+D54*(G54+I54)+D56*(G56+I56))/(G58+I58))</f>
        <v>0</v>
      </c>
      <c r="E58" s="76">
        <f>IF(I58=0,0,(E48*I48+E54*I54+E56*I56)/I58)</f>
        <v>0</v>
      </c>
      <c r="F58" s="77">
        <f>F48+F54+F56</f>
        <v>0</v>
      </c>
      <c r="G58" s="78">
        <f>G48+G54+G56</f>
        <v>0</v>
      </c>
      <c r="H58" s="79">
        <f>H48+H54+H56</f>
        <v>0</v>
      </c>
      <c r="I58" s="82">
        <f>I48+I54+I56</f>
        <v>0</v>
      </c>
    </row>
    <row r="59" spans="1:9" ht="12.75" customHeight="1">
      <c r="A59" s="2" t="s">
        <v>55</v>
      </c>
      <c r="D59" s="72">
        <f>IF(SUM(detalle2!D:D)=0,0,SUM(detalle2!T:T)/SUM(detalle2!D:D))-IF((G48+I48+G54+I54)=0,0,(D48*(G48+I48)+D54*(G54+I54))/(G48+I48+G54+I54))</f>
        <v>0</v>
      </c>
      <c r="E59" s="72">
        <f>IF(SUMIF(detalle2!V:V,"&gt;199",detalle2!D:D)=0,0,SUMIF(detalle2!V:V,"&gt;199",detalle2!T:T)/SUMIF(detalle2!V:V,"&gt;199",detalle2!D:D))-IF(I48+I54=0,0,(E48*I48+E54*I54)/(I48+I54))</f>
        <v>0</v>
      </c>
      <c r="F59" s="72">
        <f>COUNTIF(detalle2!P:P,"&lt;=30")-F58+F57</f>
        <v>0</v>
      </c>
      <c r="G59" s="72">
        <f>SUMIF(detalle2!P:P,"&lt;=30",detalle2!D:D)-G58+G57</f>
        <v>0</v>
      </c>
      <c r="H59" s="72">
        <f>COUNTIF(detalle2!P:P,"&gt;30")-H58+H57</f>
        <v>0</v>
      </c>
      <c r="I59" s="72">
        <f>SUMIF(detalle2!P:P,"&gt;30",detalle2!D:D)-I58+I57</f>
        <v>0</v>
      </c>
    </row>
    <row r="60" spans="4:9" ht="12.75" customHeight="1">
      <c r="D60" s="34"/>
      <c r="E60" s="34"/>
      <c r="F60" s="34"/>
      <c r="G60" s="34"/>
      <c r="H60" s="34"/>
      <c r="I60" s="34"/>
    </row>
    <row r="63" spans="1:9" s="42" customFormat="1" ht="15.75">
      <c r="A63" s="56" t="s">
        <v>58</v>
      </c>
      <c r="B63" s="57"/>
      <c r="C63" s="57"/>
      <c r="D63" s="57"/>
      <c r="E63" s="57"/>
      <c r="F63" s="57"/>
      <c r="G63" s="57"/>
      <c r="H63" s="57"/>
      <c r="I63" s="57"/>
    </row>
    <row r="64" spans="1:9" ht="12.75" customHeight="1">
      <c r="A64" s="35"/>
      <c r="B64" s="34"/>
      <c r="C64" s="34"/>
      <c r="D64" s="34"/>
      <c r="E64" s="34"/>
      <c r="F64" s="34"/>
      <c r="G64" s="34"/>
      <c r="H64" s="34"/>
      <c r="I64" s="34"/>
    </row>
    <row r="65" spans="1:9" ht="12.75" customHeight="1">
      <c r="A65" s="35"/>
      <c r="B65" s="34"/>
      <c r="C65" s="34"/>
      <c r="D65" s="34"/>
      <c r="E65" s="34"/>
      <c r="F65" s="34"/>
      <c r="G65" s="34"/>
      <c r="H65" s="34"/>
      <c r="I65" s="34"/>
    </row>
    <row r="66" s="18" customFormat="1" ht="13.5" thickBot="1">
      <c r="A66" s="1" t="s">
        <v>59</v>
      </c>
    </row>
    <row r="67" spans="1:7" ht="33.75">
      <c r="A67" s="200" t="s">
        <v>60</v>
      </c>
      <c r="B67" s="201"/>
      <c r="C67" s="202"/>
      <c r="D67" s="83" t="s">
        <v>61</v>
      </c>
      <c r="E67" s="73" t="s">
        <v>62</v>
      </c>
      <c r="F67" s="84" t="s">
        <v>33</v>
      </c>
      <c r="G67" s="36"/>
    </row>
    <row r="68" spans="1:6" ht="12.75" customHeight="1">
      <c r="A68" s="105"/>
      <c r="B68" s="180" t="s">
        <v>5</v>
      </c>
      <c r="C68" s="181"/>
      <c r="D68" s="67">
        <f>IF(E68=0,0,SUMIF(detalle32!T:T,22,detalle32!R:R)/SUMIF(detalle32!T:T,22,detalle32!D:D))</f>
        <v>0</v>
      </c>
      <c r="E68" s="37">
        <f>COUNTIF(detalle32!T:T,22)</f>
        <v>0</v>
      </c>
      <c r="F68" s="85">
        <f>SUMIF(detalle32!T:T,22,detalle32!D:D)</f>
        <v>0</v>
      </c>
    </row>
    <row r="69" spans="1:6" ht="12.75" customHeight="1">
      <c r="A69" s="98"/>
      <c r="B69" s="182" t="s">
        <v>4</v>
      </c>
      <c r="C69" s="183"/>
      <c r="D69" s="67">
        <f>IF(E69=0,0,SUMIF(detalle32!T:T,26,detalle32!R:R)/SUMIF(detalle32!T:T,26,detalle32!D:D))</f>
        <v>0</v>
      </c>
      <c r="E69" s="37">
        <f>COUNTIF(detalle32!T:T,26)</f>
        <v>0</v>
      </c>
      <c r="F69" s="85">
        <f>SUMIF(detalle32!T:T,26,detalle32!D:D)</f>
        <v>0</v>
      </c>
    </row>
    <row r="70" spans="1:6" ht="12.75" customHeight="1">
      <c r="A70" s="104"/>
      <c r="B70" s="184" t="s">
        <v>6</v>
      </c>
      <c r="C70" s="185"/>
      <c r="D70" s="67">
        <f>IF(E70=0,0,SUMIF(detalle32!T:T,29,detalle32!R:R)/SUMIF(detalle32!T:T,29,detalle32!D:D))</f>
        <v>0</v>
      </c>
      <c r="E70" s="37">
        <f>COUNTIF(detalle32!T:T,29)</f>
        <v>0</v>
      </c>
      <c r="F70" s="85">
        <f>SUMIF(detalle32!T:T,29,detalle32!D:D)</f>
        <v>0</v>
      </c>
    </row>
    <row r="71" spans="1:6" ht="12.75" customHeight="1" thickBot="1">
      <c r="A71" s="186" t="s">
        <v>27</v>
      </c>
      <c r="B71" s="187"/>
      <c r="C71" s="188"/>
      <c r="D71" s="86">
        <f>IF(F71=0,0,(D68*F68+D69*F69+D70*F70)/F71)</f>
        <v>0</v>
      </c>
      <c r="E71" s="79">
        <f>SUM(E68:E70)</f>
        <v>0</v>
      </c>
      <c r="F71" s="87">
        <f>SUM(F68:F70)</f>
        <v>0</v>
      </c>
    </row>
    <row r="72" spans="4:6" ht="12.75" customHeight="1">
      <c r="D72" s="72">
        <f>IF(D73=0,0,(SUMIF(detalle32!O:O,"&gt;90",detalle32!R:R)/SUMIF(detalle32!O:O,"&gt;90",detalle32!D:D)))-IF(D71="",0,D71)</f>
        <v>0</v>
      </c>
      <c r="E72" s="72">
        <f>COUNTIF(detalle32!O:O,"&gt;90")-E71</f>
        <v>0</v>
      </c>
      <c r="F72" s="72">
        <f>SUMIF(detalle32!O:O,"&gt;90",detalle32!D:D)-F71</f>
        <v>0</v>
      </c>
    </row>
    <row r="73" spans="4:6" ht="12.75" customHeight="1">
      <c r="D73" s="113">
        <f>SUMIF(detalle32!O:O,"&gt;90",detalle32!D:D)</f>
        <v>0</v>
      </c>
      <c r="E73" s="34"/>
      <c r="F73" s="34"/>
    </row>
    <row r="74" s="18" customFormat="1" ht="13.5" thickBot="1">
      <c r="A74" s="1" t="s">
        <v>63</v>
      </c>
    </row>
    <row r="75" spans="1:7" ht="12.75" customHeight="1">
      <c r="A75" s="200" t="s">
        <v>64</v>
      </c>
      <c r="B75" s="201"/>
      <c r="C75" s="202"/>
      <c r="D75" s="206" t="s">
        <v>65</v>
      </c>
      <c r="E75" s="207"/>
      <c r="F75" s="207"/>
      <c r="G75" s="208"/>
    </row>
    <row r="76" spans="1:7" ht="12.75" customHeight="1">
      <c r="A76" s="203"/>
      <c r="B76" s="204"/>
      <c r="C76" s="205"/>
      <c r="D76" s="60" t="s">
        <v>51</v>
      </c>
      <c r="E76" s="22" t="s">
        <v>13</v>
      </c>
      <c r="F76" s="22" t="s">
        <v>33</v>
      </c>
      <c r="G76" s="74" t="s">
        <v>13</v>
      </c>
    </row>
    <row r="77" spans="1:7" ht="12.75" customHeight="1">
      <c r="A77" s="105"/>
      <c r="B77" s="180" t="s">
        <v>9</v>
      </c>
      <c r="C77" s="181"/>
      <c r="D77" s="39">
        <f>COUNTIF(detalle32!O:O,"&lt;=30")</f>
        <v>5</v>
      </c>
      <c r="E77" s="40">
        <f>IF($D$81=0,0,D77*100/$D$81)</f>
        <v>100</v>
      </c>
      <c r="F77" s="26">
        <f>SUMIF(detalle32!O:O,"&lt;=30",detalle32!D:D)</f>
        <v>4514.79</v>
      </c>
      <c r="G77" s="88">
        <f>IF($F$81=0,0,F77*100/$F$81)</f>
        <v>100</v>
      </c>
    </row>
    <row r="78" spans="1:7" ht="12.75" customHeight="1">
      <c r="A78" s="98"/>
      <c r="B78" s="182" t="s">
        <v>10</v>
      </c>
      <c r="C78" s="183"/>
      <c r="D78" s="39">
        <f>COUNTIF(detalle32!O:O,"&lt;=60")-D77</f>
        <v>0</v>
      </c>
      <c r="E78" s="40">
        <f>IF($D$81=0,0,D78*100/$D$81)</f>
        <v>0</v>
      </c>
      <c r="F78" s="26">
        <f>SUMIF(detalle32!O:O,"&lt;=60",detalle32!D:D)-F77</f>
        <v>0</v>
      </c>
      <c r="G78" s="88">
        <f>IF($F$81=0,0,F78*100/$F$81)</f>
        <v>0</v>
      </c>
    </row>
    <row r="79" spans="1:7" ht="12.75" customHeight="1">
      <c r="A79" s="98"/>
      <c r="B79" s="209" t="s">
        <v>11</v>
      </c>
      <c r="C79" s="210"/>
      <c r="D79" s="39">
        <f>COUNTIF(detalle32!O:O,"&lt;=90")-SUM(D77:D78)</f>
        <v>0</v>
      </c>
      <c r="E79" s="40">
        <f>IF($D$81=0,0,D79*100/$D$81)</f>
        <v>0</v>
      </c>
      <c r="F79" s="26">
        <f>SUMIF(detalle32!O:O,"&lt;=90",detalle32!D:D)-SUM(F77:F78)</f>
        <v>0</v>
      </c>
      <c r="G79" s="88">
        <f>IF($F$81=0,0,F79*100/$F$81)</f>
        <v>0</v>
      </c>
    </row>
    <row r="80" spans="1:7" ht="12.75" customHeight="1">
      <c r="A80" s="98"/>
      <c r="B80" s="209" t="s">
        <v>12</v>
      </c>
      <c r="C80" s="210"/>
      <c r="D80" s="39">
        <f>COUNTIF(detalle32!O:O,"&gt;90")</f>
        <v>0</v>
      </c>
      <c r="E80" s="40">
        <f>IF($D$81=0,0,D80*100/$D$81)</f>
        <v>0</v>
      </c>
      <c r="F80" s="26">
        <f>SUMIF(detalle32!O:O,"&gt;90",detalle32!D:D)</f>
        <v>0</v>
      </c>
      <c r="G80" s="88">
        <f>IF($F$81=0,0,F80*100/$F$81)</f>
        <v>0</v>
      </c>
    </row>
    <row r="81" spans="1:7" ht="12.75" customHeight="1" thickBot="1">
      <c r="A81" s="191" t="s">
        <v>27</v>
      </c>
      <c r="B81" s="192"/>
      <c r="C81" s="193"/>
      <c r="D81" s="77">
        <f>SUM(D77:D80)</f>
        <v>5</v>
      </c>
      <c r="E81" s="89">
        <f>SUM(E77:E80)</f>
        <v>100</v>
      </c>
      <c r="F81" s="78">
        <f>SUM(F77:F80)</f>
        <v>4514.79</v>
      </c>
      <c r="G81" s="90">
        <f>SUM(G77:G80)</f>
        <v>100</v>
      </c>
    </row>
    <row r="82" spans="1:7" ht="12.75" customHeight="1">
      <c r="A82" s="33"/>
      <c r="B82" s="33"/>
      <c r="C82" s="33"/>
      <c r="D82" s="72">
        <f>COUNT(detalle32!D:D)-D81</f>
        <v>31</v>
      </c>
      <c r="E82" s="72"/>
      <c r="F82" s="72">
        <f>SUM(detalle32!D:D)-F81</f>
        <v>63590.50999999999</v>
      </c>
      <c r="G82" s="34"/>
    </row>
    <row r="83" spans="1:7" ht="12.75" customHeight="1">
      <c r="A83" s="33"/>
      <c r="B83" s="33"/>
      <c r="C83" s="33"/>
      <c r="D83" s="72">
        <f>E71-D80</f>
        <v>0</v>
      </c>
      <c r="E83" s="72"/>
      <c r="F83" s="72"/>
      <c r="G83" s="34"/>
    </row>
    <row r="84" spans="1:7" ht="12.75" customHeight="1">
      <c r="A84" s="33"/>
      <c r="B84" s="33"/>
      <c r="C84" s="33"/>
      <c r="D84" s="19"/>
      <c r="E84" s="19"/>
      <c r="F84" s="34"/>
      <c r="G84" s="34"/>
    </row>
    <row r="85" spans="1:5" s="42" customFormat="1" ht="15.75">
      <c r="A85" s="56" t="s">
        <v>66</v>
      </c>
      <c r="B85" s="58"/>
      <c r="C85" s="58"/>
      <c r="D85" s="59"/>
      <c r="E85" s="59"/>
    </row>
    <row r="86" spans="1:5" ht="12.75" customHeight="1">
      <c r="A86" s="35"/>
      <c r="B86" s="33"/>
      <c r="C86" s="33"/>
      <c r="D86" s="19"/>
      <c r="E86" s="19"/>
    </row>
    <row r="87" ht="12.75" customHeight="1" thickBot="1"/>
    <row r="88" spans="1:8" ht="12.75" customHeight="1">
      <c r="A88" s="194" t="s">
        <v>67</v>
      </c>
      <c r="B88" s="195"/>
      <c r="C88" s="196"/>
      <c r="D88" s="178" t="s">
        <v>68</v>
      </c>
      <c r="E88" s="179"/>
      <c r="F88" s="178" t="s">
        <v>71</v>
      </c>
      <c r="G88" s="179"/>
      <c r="H88" s="173" t="s">
        <v>72</v>
      </c>
    </row>
    <row r="89" spans="1:8" ht="12.75" customHeight="1">
      <c r="A89" s="197"/>
      <c r="B89" s="198"/>
      <c r="C89" s="199"/>
      <c r="D89" s="68" t="s">
        <v>69</v>
      </c>
      <c r="E89" s="69" t="s">
        <v>70</v>
      </c>
      <c r="F89" s="68" t="str">
        <f>+D89</f>
        <v>Ratio</v>
      </c>
      <c r="G89" s="69" t="str">
        <f>+E89</f>
        <v>Importe</v>
      </c>
      <c r="H89" s="174"/>
    </row>
    <row r="90" spans="1:8" ht="12.75" customHeight="1" thickBot="1">
      <c r="A90" s="175" t="str">
        <f>D3</f>
        <v>OARSOALDEA</v>
      </c>
      <c r="B90" s="176"/>
      <c r="C90" s="177"/>
      <c r="D90" s="91">
        <f>IF((SUM(detalle1!D:D)+G24+I24)=0,0,(SUM(detalle1!U:U)+D24*(G24+I24))/(SUM(detalle1!D:D)+G24+I24))</f>
        <v>-24.692063454167016</v>
      </c>
      <c r="E90" s="92">
        <f>SUM(detalle1!D:D)+G24+I24</f>
        <v>119791.65999999997</v>
      </c>
      <c r="F90" s="91">
        <f>IF((SUM(detalle2!D:D)+SUM(detalle32!D:D)+G56+I56)=0,0,(SUM(detalle2!U:U)+SUM(detalle32!S:S)+D56*(G56+I56))/(SUM(detalle2!D:D)+SUM(detalle32!D:D)+G56+I56))</f>
        <v>0</v>
      </c>
      <c r="G90" s="92">
        <f>SUM(detalle2!D:D)+SUM(detalle32!D:D)+G56+I56</f>
        <v>68105.29999999999</v>
      </c>
      <c r="H90" s="93">
        <f>IF(E90=0,F90,IF(G90=0,D90,(D90*E90+F90*G90)/(E90+G90)))</f>
        <v>-15.742156073200974</v>
      </c>
    </row>
    <row r="91" spans="4:8" ht="12.75" customHeight="1">
      <c r="D91" s="31"/>
      <c r="E91" s="72">
        <f>E90-F38</f>
        <v>0</v>
      </c>
      <c r="F91" s="72"/>
      <c r="G91" s="72">
        <f>G90-G58-I58-F81</f>
        <v>63590.50999999999</v>
      </c>
      <c r="H91" s="72">
        <f>IF(H92=0,0,(SUM(detalle1!U:U)+SUM(detalle2!U:U)+SUM(detalle32!S:S)+D24*(G24+I24)+D56*(G56+I56))/(SUM(detalle1!D:D)+SUM(detalle2!D:D)+SUM(detalle32!D:D)+G24+I24+G56+I56))-IF(H90="",0,H90)</f>
        <v>0</v>
      </c>
    </row>
    <row r="92" spans="1:8" ht="12.75" customHeight="1" thickBot="1">
      <c r="A92" s="4" t="s">
        <v>73</v>
      </c>
      <c r="E92" s="34"/>
      <c r="F92" s="34"/>
      <c r="G92" s="34"/>
      <c r="H92" s="114">
        <f>(SUM(detalle1!D:D)+SUM(detalle2!D:D)+SUM(detalle32!D:D)+G24+I24+G56+I56)</f>
        <v>187896.95999999996</v>
      </c>
    </row>
    <row r="93" spans="2:8" ht="43.5" customHeight="1" thickBot="1">
      <c r="B93" s="189"/>
      <c r="C93" s="190"/>
      <c r="E93" s="34"/>
      <c r="F93" s="34"/>
      <c r="G93" s="34"/>
      <c r="H93" s="34"/>
    </row>
  </sheetData>
  <sheetProtection/>
  <mergeCells count="50"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A16:C16"/>
    <mergeCell ref="A22:C22"/>
    <mergeCell ref="A24:C24"/>
    <mergeCell ref="B25:C25"/>
    <mergeCell ref="A26:C26"/>
    <mergeCell ref="A31:C32"/>
    <mergeCell ref="D31:G31"/>
    <mergeCell ref="B33:C33"/>
    <mergeCell ref="B34:C34"/>
    <mergeCell ref="B36:C36"/>
    <mergeCell ref="F45:I45"/>
    <mergeCell ref="D46:E46"/>
    <mergeCell ref="F46:G46"/>
    <mergeCell ref="H46:I46"/>
    <mergeCell ref="B37:C37"/>
    <mergeCell ref="A38:C38"/>
    <mergeCell ref="A58:C58"/>
    <mergeCell ref="A67:C67"/>
    <mergeCell ref="A45:C47"/>
    <mergeCell ref="D45:E45"/>
    <mergeCell ref="A48:C48"/>
    <mergeCell ref="A54:C54"/>
    <mergeCell ref="A56:C56"/>
    <mergeCell ref="B57:C57"/>
    <mergeCell ref="B93:C93"/>
    <mergeCell ref="A81:C81"/>
    <mergeCell ref="A88:C89"/>
    <mergeCell ref="A75:C76"/>
    <mergeCell ref="D75:G75"/>
    <mergeCell ref="F88:G88"/>
    <mergeCell ref="B77:C77"/>
    <mergeCell ref="B78:C78"/>
    <mergeCell ref="B79:C79"/>
    <mergeCell ref="B80:C80"/>
    <mergeCell ref="H88:H89"/>
    <mergeCell ref="A90:C90"/>
    <mergeCell ref="D88:E88"/>
    <mergeCell ref="B68:C68"/>
    <mergeCell ref="B69:C69"/>
    <mergeCell ref="B70:C70"/>
    <mergeCell ref="A71:C71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Y338"/>
  <sheetViews>
    <sheetView tabSelected="1" zoomScale="75" zoomScaleNormal="75" zoomScalePageLayoutView="0" workbookViewId="0" topLeftCell="A22">
      <selection activeCell="D59" sqref="D59"/>
    </sheetView>
  </sheetViews>
  <sheetFormatPr defaultColWidth="9.140625" defaultRowHeight="12.75"/>
  <cols>
    <col min="1" max="1" width="13.7109375" style="2" customWidth="1"/>
    <col min="2" max="2" width="12.00390625" style="14" bestFit="1" customWidth="1"/>
    <col min="3" max="3" width="24.28125" style="128" customWidth="1"/>
    <col min="4" max="4" width="12.57421875" style="8" customWidth="1"/>
    <col min="5" max="5" width="7.421875" style="2" bestFit="1" customWidth="1"/>
    <col min="6" max="6" width="11.28125" style="2" customWidth="1"/>
    <col min="7" max="7" width="18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2.00390625" style="14" bestFit="1" customWidth="1"/>
    <col min="12" max="12" width="10.140625" style="14" bestFit="1" customWidth="1"/>
    <col min="13" max="13" width="11.140625" style="14" bestFit="1" customWidth="1"/>
    <col min="14" max="14" width="12.00390625" style="14" bestFit="1" customWidth="1"/>
    <col min="15" max="15" width="7.28125" style="9" bestFit="1" customWidth="1"/>
    <col min="16" max="16" width="6.57421875" style="9" customWidth="1"/>
    <col min="17" max="17" width="6.28125" style="9" bestFit="1" customWidth="1"/>
    <col min="18" max="18" width="6.7109375" style="9" customWidth="1"/>
    <col min="19" max="19" width="10.140625" style="2" bestFit="1" customWidth="1"/>
    <col min="20" max="20" width="13.00390625" style="8" bestFit="1" customWidth="1"/>
    <col min="21" max="21" width="14.57421875" style="8" bestFit="1" customWidth="1"/>
    <col min="22" max="22" width="9.140625" style="134" customWidth="1"/>
    <col min="23" max="24" width="9.140625" style="2" customWidth="1"/>
    <col min="25" max="25" width="9.7109375" style="2" bestFit="1" customWidth="1"/>
    <col min="26" max="16384" width="9.140625" style="2" customWidth="1"/>
  </cols>
  <sheetData>
    <row r="2" spans="4:7" ht="11.25">
      <c r="D2" s="126" t="s">
        <v>77</v>
      </c>
      <c r="G2" s="131"/>
    </row>
    <row r="3" spans="1:10" ht="11.25">
      <c r="A3" s="3" t="s">
        <v>79</v>
      </c>
      <c r="B3" s="16"/>
      <c r="C3" s="129"/>
      <c r="D3" s="127" t="s">
        <v>78</v>
      </c>
      <c r="E3" s="4"/>
      <c r="F3" s="4"/>
      <c r="G3" s="4"/>
      <c r="H3" s="4"/>
      <c r="I3" s="4"/>
      <c r="J3" s="4"/>
    </row>
    <row r="4" spans="13:14" ht="11.25">
      <c r="M4" s="14" t="s">
        <v>87</v>
      </c>
      <c r="N4" s="14" t="s">
        <v>88</v>
      </c>
    </row>
    <row r="5" spans="1:22" ht="22.5">
      <c r="A5" s="5" t="s">
        <v>80</v>
      </c>
      <c r="B5" s="17" t="s">
        <v>81</v>
      </c>
      <c r="C5" s="130" t="s">
        <v>82</v>
      </c>
      <c r="D5" s="116" t="s">
        <v>70</v>
      </c>
      <c r="E5" s="5" t="s">
        <v>83</v>
      </c>
      <c r="F5" s="125" t="s">
        <v>84</v>
      </c>
      <c r="G5" s="125" t="s">
        <v>85</v>
      </c>
      <c r="H5" s="6" t="s">
        <v>16</v>
      </c>
      <c r="I5" s="6" t="s">
        <v>17</v>
      </c>
      <c r="J5" s="6" t="s">
        <v>15</v>
      </c>
      <c r="K5" s="117" t="s">
        <v>86</v>
      </c>
      <c r="L5" s="15" t="s">
        <v>89</v>
      </c>
      <c r="M5" s="117" t="s">
        <v>90</v>
      </c>
      <c r="N5" s="117" t="s">
        <v>91</v>
      </c>
      <c r="O5" s="10" t="s">
        <v>92</v>
      </c>
      <c r="P5" s="11" t="s">
        <v>93</v>
      </c>
      <c r="Q5" s="12" t="s">
        <v>94</v>
      </c>
      <c r="R5" s="13" t="s">
        <v>72</v>
      </c>
      <c r="S5" s="132" t="s">
        <v>95</v>
      </c>
      <c r="T5" s="8" t="s">
        <v>96</v>
      </c>
      <c r="U5" s="8" t="s">
        <v>97</v>
      </c>
      <c r="V5" s="134" t="s">
        <v>98</v>
      </c>
    </row>
    <row r="6" spans="1:25" s="18" customFormat="1" ht="12.75">
      <c r="A6" s="161" t="s">
        <v>116</v>
      </c>
      <c r="B6" s="152">
        <v>42853</v>
      </c>
      <c r="C6" s="162" t="s">
        <v>117</v>
      </c>
      <c r="D6" s="163">
        <v>2346</v>
      </c>
      <c r="F6" s="137"/>
      <c r="J6" s="143"/>
      <c r="K6" s="152">
        <v>42831</v>
      </c>
      <c r="L6" s="145"/>
      <c r="M6" s="152">
        <f aca="true" t="shared" si="0" ref="M6:M37">+N6</f>
        <v>42853</v>
      </c>
      <c r="N6" s="152">
        <v>42853</v>
      </c>
      <c r="O6" s="148">
        <f aca="true" t="shared" si="1" ref="O6:O37">+M6-K6</f>
        <v>22</v>
      </c>
      <c r="P6" s="148">
        <f aca="true" t="shared" si="2" ref="P6:P37">+N6-M6</f>
        <v>0</v>
      </c>
      <c r="Q6" s="148">
        <f aca="true" t="shared" si="3" ref="Q6:Q37">+N6-K6</f>
        <v>22</v>
      </c>
      <c r="R6" s="148">
        <f aca="true" t="shared" si="4" ref="R6:R37">+Q6-30</f>
        <v>-8</v>
      </c>
      <c r="S6" s="18">
        <v>29</v>
      </c>
      <c r="T6" s="147">
        <f aca="true" t="shared" si="5" ref="T6:T37">+P6*D6</f>
        <v>0</v>
      </c>
      <c r="U6" s="147">
        <f>+R6*D6</f>
        <v>-18768</v>
      </c>
      <c r="V6" s="143">
        <f>IF(P6&gt;30,200+S6,100+S6)</f>
        <v>129</v>
      </c>
      <c r="Y6" s="147"/>
    </row>
    <row r="7" spans="1:25" s="18" customFormat="1" ht="12.75">
      <c r="A7" s="161" t="s">
        <v>118</v>
      </c>
      <c r="B7" s="152">
        <v>42828</v>
      </c>
      <c r="C7" s="164" t="s">
        <v>119</v>
      </c>
      <c r="D7" s="165">
        <v>-11.59</v>
      </c>
      <c r="J7" s="143"/>
      <c r="K7" s="152">
        <v>42831</v>
      </c>
      <c r="L7" s="145"/>
      <c r="M7" s="152">
        <f t="shared" si="0"/>
        <v>42835</v>
      </c>
      <c r="N7" s="152">
        <v>42835</v>
      </c>
      <c r="O7" s="148">
        <f t="shared" si="1"/>
        <v>4</v>
      </c>
      <c r="P7" s="148">
        <f t="shared" si="2"/>
        <v>0</v>
      </c>
      <c r="Q7" s="148">
        <f t="shared" si="3"/>
        <v>4</v>
      </c>
      <c r="R7" s="148">
        <f t="shared" si="4"/>
        <v>-26</v>
      </c>
      <c r="S7" s="18">
        <v>22</v>
      </c>
      <c r="T7" s="147">
        <f t="shared" si="5"/>
        <v>0</v>
      </c>
      <c r="U7" s="147">
        <f aca="true" t="shared" si="6" ref="U7:U70">+R7*D7</f>
        <v>301.34</v>
      </c>
      <c r="V7" s="143">
        <f aca="true" t="shared" si="7" ref="V7:V70">IF(P7&gt;30,200+S7,100+S7)</f>
        <v>122</v>
      </c>
      <c r="Y7" s="147"/>
    </row>
    <row r="8" spans="1:25" s="18" customFormat="1" ht="12.75">
      <c r="A8" s="161" t="s">
        <v>120</v>
      </c>
      <c r="B8" s="152">
        <v>42829</v>
      </c>
      <c r="C8" s="164" t="s">
        <v>121</v>
      </c>
      <c r="D8" s="165">
        <v>11.59</v>
      </c>
      <c r="J8" s="143"/>
      <c r="K8" s="152">
        <v>42832</v>
      </c>
      <c r="L8" s="145"/>
      <c r="M8" s="152">
        <f t="shared" si="0"/>
        <v>42837</v>
      </c>
      <c r="N8" s="152">
        <v>42837</v>
      </c>
      <c r="O8" s="148">
        <f t="shared" si="1"/>
        <v>5</v>
      </c>
      <c r="P8" s="148">
        <f t="shared" si="2"/>
        <v>0</v>
      </c>
      <c r="Q8" s="148">
        <f t="shared" si="3"/>
        <v>5</v>
      </c>
      <c r="R8" s="148">
        <f t="shared" si="4"/>
        <v>-25</v>
      </c>
      <c r="S8" s="18">
        <v>22</v>
      </c>
      <c r="T8" s="147">
        <f t="shared" si="5"/>
        <v>0</v>
      </c>
      <c r="U8" s="147">
        <f t="shared" si="6"/>
        <v>-289.75</v>
      </c>
      <c r="V8" s="143">
        <f t="shared" si="7"/>
        <v>122</v>
      </c>
      <c r="Y8" s="147"/>
    </row>
    <row r="9" spans="1:25" s="18" customFormat="1" ht="12.75">
      <c r="A9" s="161" t="s">
        <v>122</v>
      </c>
      <c r="B9" s="152">
        <v>42828</v>
      </c>
      <c r="C9" s="164" t="s">
        <v>123</v>
      </c>
      <c r="D9" s="165">
        <v>671.83</v>
      </c>
      <c r="K9" s="152">
        <v>42832</v>
      </c>
      <c r="L9" s="145"/>
      <c r="M9" s="152">
        <f t="shared" si="0"/>
        <v>42843</v>
      </c>
      <c r="N9" s="152">
        <v>42843</v>
      </c>
      <c r="O9" s="148">
        <f t="shared" si="1"/>
        <v>11</v>
      </c>
      <c r="P9" s="148">
        <f t="shared" si="2"/>
        <v>0</v>
      </c>
      <c r="Q9" s="148">
        <f t="shared" si="3"/>
        <v>11</v>
      </c>
      <c r="R9" s="148">
        <f t="shared" si="4"/>
        <v>-19</v>
      </c>
      <c r="S9" s="18">
        <v>29</v>
      </c>
      <c r="T9" s="147">
        <f t="shared" si="5"/>
        <v>0</v>
      </c>
      <c r="U9" s="147">
        <f t="shared" si="6"/>
        <v>-12764.77</v>
      </c>
      <c r="V9" s="143">
        <f t="shared" si="7"/>
        <v>129</v>
      </c>
      <c r="Y9" s="147"/>
    </row>
    <row r="10" spans="1:25" s="18" customFormat="1" ht="12.75">
      <c r="A10" s="161" t="s">
        <v>124</v>
      </c>
      <c r="B10" s="152">
        <v>42826</v>
      </c>
      <c r="C10" s="164" t="s">
        <v>125</v>
      </c>
      <c r="D10" s="165">
        <v>28.6</v>
      </c>
      <c r="K10" s="152">
        <f>M10</f>
        <v>42830</v>
      </c>
      <c r="L10" s="145"/>
      <c r="M10" s="152">
        <f t="shared" si="0"/>
        <v>42830</v>
      </c>
      <c r="N10" s="152">
        <v>42830</v>
      </c>
      <c r="O10" s="148">
        <f t="shared" si="1"/>
        <v>0</v>
      </c>
      <c r="P10" s="148">
        <f t="shared" si="2"/>
        <v>0</v>
      </c>
      <c r="Q10" s="148">
        <f t="shared" si="3"/>
        <v>0</v>
      </c>
      <c r="R10" s="148">
        <f t="shared" si="4"/>
        <v>-30</v>
      </c>
      <c r="S10" s="18">
        <v>20</v>
      </c>
      <c r="T10" s="147">
        <f t="shared" si="5"/>
        <v>0</v>
      </c>
      <c r="U10" s="147">
        <f t="shared" si="6"/>
        <v>-858</v>
      </c>
      <c r="V10" s="143">
        <f t="shared" si="7"/>
        <v>120</v>
      </c>
      <c r="Y10" s="147"/>
    </row>
    <row r="11" spans="1:25" s="18" customFormat="1" ht="12.75">
      <c r="A11" s="161" t="s">
        <v>126</v>
      </c>
      <c r="B11" s="152">
        <v>42826</v>
      </c>
      <c r="C11" s="164" t="s">
        <v>127</v>
      </c>
      <c r="D11" s="165">
        <v>217.8</v>
      </c>
      <c r="K11" s="152">
        <f>M11</f>
        <v>42830</v>
      </c>
      <c r="L11" s="145"/>
      <c r="M11" s="152">
        <f t="shared" si="0"/>
        <v>42830</v>
      </c>
      <c r="N11" s="152">
        <v>42830</v>
      </c>
      <c r="O11" s="148">
        <f t="shared" si="1"/>
        <v>0</v>
      </c>
      <c r="P11" s="148">
        <f t="shared" si="2"/>
        <v>0</v>
      </c>
      <c r="Q11" s="148">
        <f t="shared" si="3"/>
        <v>0</v>
      </c>
      <c r="R11" s="148">
        <f t="shared" si="4"/>
        <v>-30</v>
      </c>
      <c r="S11" s="18">
        <v>20</v>
      </c>
      <c r="T11" s="147">
        <f t="shared" si="5"/>
        <v>0</v>
      </c>
      <c r="U11" s="147">
        <f t="shared" si="6"/>
        <v>-6534</v>
      </c>
      <c r="V11" s="143">
        <f t="shared" si="7"/>
        <v>120</v>
      </c>
      <c r="Y11" s="147"/>
    </row>
    <row r="12" spans="1:25" s="18" customFormat="1" ht="12.75">
      <c r="A12" s="161" t="s">
        <v>128</v>
      </c>
      <c r="B12" s="152">
        <v>42826</v>
      </c>
      <c r="C12" s="164" t="s">
        <v>129</v>
      </c>
      <c r="D12" s="165">
        <v>56.86</v>
      </c>
      <c r="E12" s="166"/>
      <c r="F12" s="167"/>
      <c r="G12" s="168"/>
      <c r="H12" s="168"/>
      <c r="K12" s="152">
        <f>M12</f>
        <v>42828</v>
      </c>
      <c r="L12" s="145"/>
      <c r="M12" s="152">
        <f t="shared" si="0"/>
        <v>42828</v>
      </c>
      <c r="N12" s="152">
        <v>42828</v>
      </c>
      <c r="O12" s="148">
        <f t="shared" si="1"/>
        <v>0</v>
      </c>
      <c r="P12" s="148">
        <f t="shared" si="2"/>
        <v>0</v>
      </c>
      <c r="Q12" s="148">
        <f t="shared" si="3"/>
        <v>0</v>
      </c>
      <c r="R12" s="148">
        <f t="shared" si="4"/>
        <v>-30</v>
      </c>
      <c r="S12" s="18">
        <v>21</v>
      </c>
      <c r="T12" s="147">
        <f t="shared" si="5"/>
        <v>0</v>
      </c>
      <c r="U12" s="147">
        <f t="shared" si="6"/>
        <v>-1705.8</v>
      </c>
      <c r="V12" s="143">
        <f t="shared" si="7"/>
        <v>121</v>
      </c>
      <c r="Y12" s="147"/>
    </row>
    <row r="13" spans="1:25" s="18" customFormat="1" ht="12.75">
      <c r="A13" s="161" t="s">
        <v>130</v>
      </c>
      <c r="B13" s="152">
        <v>42855</v>
      </c>
      <c r="C13" s="164" t="s">
        <v>131</v>
      </c>
      <c r="D13" s="165">
        <v>408.89</v>
      </c>
      <c r="E13" s="166"/>
      <c r="F13" s="167"/>
      <c r="G13" s="167"/>
      <c r="H13" s="167"/>
      <c r="K13" s="152">
        <f>M13</f>
        <v>42832</v>
      </c>
      <c r="L13" s="145"/>
      <c r="M13" s="152">
        <f t="shared" si="0"/>
        <v>42832</v>
      </c>
      <c r="N13" s="152">
        <v>42832</v>
      </c>
      <c r="O13" s="148">
        <f t="shared" si="1"/>
        <v>0</v>
      </c>
      <c r="P13" s="148">
        <f t="shared" si="2"/>
        <v>0</v>
      </c>
      <c r="Q13" s="148">
        <f t="shared" si="3"/>
        <v>0</v>
      </c>
      <c r="R13" s="148">
        <f t="shared" si="4"/>
        <v>-30</v>
      </c>
      <c r="S13" s="18">
        <v>29</v>
      </c>
      <c r="T13" s="147">
        <f t="shared" si="5"/>
        <v>0</v>
      </c>
      <c r="U13" s="147">
        <f t="shared" si="6"/>
        <v>-12266.699999999999</v>
      </c>
      <c r="V13" s="143">
        <f t="shared" si="7"/>
        <v>129</v>
      </c>
      <c r="Y13" s="147"/>
    </row>
    <row r="14" spans="1:25" s="18" customFormat="1" ht="12.75">
      <c r="A14" s="161" t="s">
        <v>132</v>
      </c>
      <c r="B14" s="152">
        <v>42830</v>
      </c>
      <c r="C14" s="162" t="s">
        <v>133</v>
      </c>
      <c r="D14" s="163">
        <v>600</v>
      </c>
      <c r="E14" s="166"/>
      <c r="F14" s="169"/>
      <c r="K14" s="152">
        <v>42858</v>
      </c>
      <c r="L14" s="145"/>
      <c r="M14" s="152">
        <f t="shared" si="0"/>
        <v>42873</v>
      </c>
      <c r="N14" s="152">
        <v>42873</v>
      </c>
      <c r="O14" s="148">
        <f t="shared" si="1"/>
        <v>15</v>
      </c>
      <c r="P14" s="148">
        <f t="shared" si="2"/>
        <v>0</v>
      </c>
      <c r="Q14" s="148">
        <f t="shared" si="3"/>
        <v>15</v>
      </c>
      <c r="R14" s="148">
        <f t="shared" si="4"/>
        <v>-15</v>
      </c>
      <c r="S14" s="18">
        <v>29</v>
      </c>
      <c r="T14" s="147">
        <f t="shared" si="5"/>
        <v>0</v>
      </c>
      <c r="U14" s="147">
        <f t="shared" si="6"/>
        <v>-9000</v>
      </c>
      <c r="V14" s="143">
        <f t="shared" si="7"/>
        <v>129</v>
      </c>
      <c r="Y14" s="147"/>
    </row>
    <row r="15" spans="1:25" s="18" customFormat="1" ht="12.75">
      <c r="A15" s="161" t="s">
        <v>134</v>
      </c>
      <c r="B15" s="152">
        <v>42831</v>
      </c>
      <c r="C15" s="164" t="s">
        <v>135</v>
      </c>
      <c r="D15" s="165">
        <v>25.69</v>
      </c>
      <c r="E15" s="166"/>
      <c r="F15" s="169"/>
      <c r="K15" s="152">
        <f>M15</f>
        <v>42856</v>
      </c>
      <c r="L15" s="145"/>
      <c r="M15" s="152">
        <f t="shared" si="0"/>
        <v>42856</v>
      </c>
      <c r="N15" s="152">
        <v>42856</v>
      </c>
      <c r="O15" s="148">
        <f t="shared" si="1"/>
        <v>0</v>
      </c>
      <c r="P15" s="148">
        <f t="shared" si="2"/>
        <v>0</v>
      </c>
      <c r="Q15" s="148">
        <f t="shared" si="3"/>
        <v>0</v>
      </c>
      <c r="R15" s="148">
        <f t="shared" si="4"/>
        <v>-30</v>
      </c>
      <c r="S15" s="18">
        <v>29</v>
      </c>
      <c r="T15" s="147">
        <f t="shared" si="5"/>
        <v>0</v>
      </c>
      <c r="U15" s="147">
        <f t="shared" si="6"/>
        <v>-770.7</v>
      </c>
      <c r="V15" s="143">
        <f t="shared" si="7"/>
        <v>129</v>
      </c>
      <c r="Y15" s="147"/>
    </row>
    <row r="16" spans="1:25" s="18" customFormat="1" ht="12.75">
      <c r="A16" s="161" t="s">
        <v>136</v>
      </c>
      <c r="B16" s="152">
        <v>42853</v>
      </c>
      <c r="C16" s="164" t="s">
        <v>137</v>
      </c>
      <c r="D16" s="165">
        <v>87.25</v>
      </c>
      <c r="E16" s="166"/>
      <c r="F16" s="169"/>
      <c r="K16" s="152">
        <v>42863</v>
      </c>
      <c r="L16" s="145"/>
      <c r="M16" s="152">
        <f t="shared" si="0"/>
        <v>42863</v>
      </c>
      <c r="N16" s="152">
        <v>42863</v>
      </c>
      <c r="O16" s="148">
        <f t="shared" si="1"/>
        <v>0</v>
      </c>
      <c r="P16" s="148">
        <f t="shared" si="2"/>
        <v>0</v>
      </c>
      <c r="Q16" s="148">
        <f t="shared" si="3"/>
        <v>0</v>
      </c>
      <c r="R16" s="148">
        <f t="shared" si="4"/>
        <v>-30</v>
      </c>
      <c r="S16" s="18">
        <v>22</v>
      </c>
      <c r="T16" s="147">
        <f t="shared" si="5"/>
        <v>0</v>
      </c>
      <c r="U16" s="147">
        <f t="shared" si="6"/>
        <v>-2617.5</v>
      </c>
      <c r="V16" s="143">
        <f t="shared" si="7"/>
        <v>122</v>
      </c>
      <c r="Y16" s="147"/>
    </row>
    <row r="17" spans="1:25" s="18" customFormat="1" ht="12.75">
      <c r="A17" s="161" t="s">
        <v>138</v>
      </c>
      <c r="B17" s="152">
        <v>42855</v>
      </c>
      <c r="C17" s="164" t="s">
        <v>139</v>
      </c>
      <c r="D17" s="165">
        <v>655.42</v>
      </c>
      <c r="E17" s="166"/>
      <c r="F17" s="169"/>
      <c r="K17" s="152">
        <v>42870</v>
      </c>
      <c r="L17" s="145"/>
      <c r="M17" s="152">
        <f t="shared" si="0"/>
        <v>42873</v>
      </c>
      <c r="N17" s="152">
        <v>42873</v>
      </c>
      <c r="O17" s="148">
        <f t="shared" si="1"/>
        <v>3</v>
      </c>
      <c r="P17" s="148">
        <f t="shared" si="2"/>
        <v>0</v>
      </c>
      <c r="Q17" s="148">
        <f t="shared" si="3"/>
        <v>3</v>
      </c>
      <c r="R17" s="148">
        <f t="shared" si="4"/>
        <v>-27</v>
      </c>
      <c r="S17" s="18">
        <v>29</v>
      </c>
      <c r="T17" s="147">
        <f t="shared" si="5"/>
        <v>0</v>
      </c>
      <c r="U17" s="147">
        <f t="shared" si="6"/>
        <v>-17696.34</v>
      </c>
      <c r="V17" s="143">
        <f t="shared" si="7"/>
        <v>129</v>
      </c>
      <c r="Y17" s="147"/>
    </row>
    <row r="18" spans="1:25" s="18" customFormat="1" ht="12.75">
      <c r="A18" s="161" t="s">
        <v>140</v>
      </c>
      <c r="B18" s="152">
        <v>42831</v>
      </c>
      <c r="C18" s="164" t="s">
        <v>141</v>
      </c>
      <c r="D18" s="165">
        <v>665.51</v>
      </c>
      <c r="E18" s="166"/>
      <c r="F18" s="169"/>
      <c r="K18" s="152">
        <v>42870</v>
      </c>
      <c r="L18" s="145"/>
      <c r="M18" s="152">
        <f t="shared" si="0"/>
        <v>42874</v>
      </c>
      <c r="N18" s="152">
        <v>42874</v>
      </c>
      <c r="O18" s="148">
        <f t="shared" si="1"/>
        <v>4</v>
      </c>
      <c r="P18" s="148">
        <f t="shared" si="2"/>
        <v>0</v>
      </c>
      <c r="Q18" s="148">
        <f t="shared" si="3"/>
        <v>4</v>
      </c>
      <c r="R18" s="148">
        <f t="shared" si="4"/>
        <v>-26</v>
      </c>
      <c r="S18" s="18">
        <v>21</v>
      </c>
      <c r="T18" s="147">
        <f t="shared" si="5"/>
        <v>0</v>
      </c>
      <c r="U18" s="147">
        <f t="shared" si="6"/>
        <v>-17303.26</v>
      </c>
      <c r="V18" s="143">
        <f t="shared" si="7"/>
        <v>121</v>
      </c>
      <c r="Y18" s="147"/>
    </row>
    <row r="19" spans="1:25" s="18" customFormat="1" ht="12.75">
      <c r="A19" s="161" t="s">
        <v>142</v>
      </c>
      <c r="B19" s="152">
        <v>42855</v>
      </c>
      <c r="C19" s="164" t="s">
        <v>143</v>
      </c>
      <c r="D19" s="165">
        <v>53.93</v>
      </c>
      <c r="E19" s="166"/>
      <c r="F19" s="169"/>
      <c r="K19" s="152">
        <f>M19</f>
        <v>42860</v>
      </c>
      <c r="L19" s="145"/>
      <c r="M19" s="152">
        <f t="shared" si="0"/>
        <v>42860</v>
      </c>
      <c r="N19" s="152">
        <v>42860</v>
      </c>
      <c r="O19" s="148">
        <f t="shared" si="1"/>
        <v>0</v>
      </c>
      <c r="P19" s="148">
        <f t="shared" si="2"/>
        <v>0</v>
      </c>
      <c r="Q19" s="148">
        <f t="shared" si="3"/>
        <v>0</v>
      </c>
      <c r="R19" s="148">
        <f t="shared" si="4"/>
        <v>-30</v>
      </c>
      <c r="S19" s="18">
        <v>29</v>
      </c>
      <c r="T19" s="147">
        <f t="shared" si="5"/>
        <v>0</v>
      </c>
      <c r="U19" s="147">
        <f t="shared" si="6"/>
        <v>-1617.9</v>
      </c>
      <c r="V19" s="143">
        <f t="shared" si="7"/>
        <v>129</v>
      </c>
      <c r="Y19" s="147"/>
    </row>
    <row r="20" spans="1:25" s="18" customFormat="1" ht="12.75">
      <c r="A20" s="161" t="s">
        <v>144</v>
      </c>
      <c r="B20" s="152">
        <v>42826</v>
      </c>
      <c r="C20" s="164" t="s">
        <v>145</v>
      </c>
      <c r="D20" s="165">
        <v>41.53</v>
      </c>
      <c r="E20" s="166"/>
      <c r="F20" s="169"/>
      <c r="K20" s="152">
        <f>M20</f>
        <v>42818</v>
      </c>
      <c r="L20" s="145"/>
      <c r="M20" s="152">
        <f t="shared" si="0"/>
        <v>42818</v>
      </c>
      <c r="N20" s="152">
        <v>42818</v>
      </c>
      <c r="O20" s="148">
        <f t="shared" si="1"/>
        <v>0</v>
      </c>
      <c r="P20" s="148">
        <f t="shared" si="2"/>
        <v>0</v>
      </c>
      <c r="Q20" s="148">
        <f t="shared" si="3"/>
        <v>0</v>
      </c>
      <c r="R20" s="148">
        <f t="shared" si="4"/>
        <v>-30</v>
      </c>
      <c r="S20" s="18">
        <v>29</v>
      </c>
      <c r="T20" s="147">
        <f t="shared" si="5"/>
        <v>0</v>
      </c>
      <c r="U20" s="147">
        <f t="shared" si="6"/>
        <v>-1245.9</v>
      </c>
      <c r="V20" s="143">
        <f t="shared" si="7"/>
        <v>129</v>
      </c>
      <c r="Y20" s="147"/>
    </row>
    <row r="21" spans="1:25" s="18" customFormat="1" ht="12.75">
      <c r="A21" s="161" t="s">
        <v>146</v>
      </c>
      <c r="B21" s="152">
        <v>42837</v>
      </c>
      <c r="C21" s="164" t="s">
        <v>147</v>
      </c>
      <c r="D21" s="165">
        <v>24.35</v>
      </c>
      <c r="E21" s="166"/>
      <c r="F21" s="169"/>
      <c r="K21" s="152">
        <f>M21</f>
        <v>42845</v>
      </c>
      <c r="L21" s="145"/>
      <c r="M21" s="152">
        <f t="shared" si="0"/>
        <v>42845</v>
      </c>
      <c r="N21" s="152">
        <v>42845</v>
      </c>
      <c r="O21" s="148">
        <f t="shared" si="1"/>
        <v>0</v>
      </c>
      <c r="P21" s="148">
        <f t="shared" si="2"/>
        <v>0</v>
      </c>
      <c r="Q21" s="148">
        <f t="shared" si="3"/>
        <v>0</v>
      </c>
      <c r="R21" s="148">
        <f t="shared" si="4"/>
        <v>-30</v>
      </c>
      <c r="S21" s="18">
        <v>29</v>
      </c>
      <c r="T21" s="147">
        <f t="shared" si="5"/>
        <v>0</v>
      </c>
      <c r="U21" s="147">
        <f t="shared" si="6"/>
        <v>-730.5</v>
      </c>
      <c r="V21" s="143">
        <f t="shared" si="7"/>
        <v>129</v>
      </c>
      <c r="Y21" s="147"/>
    </row>
    <row r="22" spans="1:25" s="18" customFormat="1" ht="12.75">
      <c r="A22" s="161" t="s">
        <v>148</v>
      </c>
      <c r="B22" s="152">
        <v>42855</v>
      </c>
      <c r="C22" s="164" t="s">
        <v>149</v>
      </c>
      <c r="D22" s="165">
        <v>445.53</v>
      </c>
      <c r="E22" s="166"/>
      <c r="F22" s="169"/>
      <c r="K22" s="152">
        <v>42870</v>
      </c>
      <c r="L22" s="145"/>
      <c r="M22" s="152">
        <f t="shared" si="0"/>
        <v>42874</v>
      </c>
      <c r="N22" s="152">
        <v>42874</v>
      </c>
      <c r="O22" s="148">
        <f t="shared" si="1"/>
        <v>4</v>
      </c>
      <c r="P22" s="148">
        <f t="shared" si="2"/>
        <v>0</v>
      </c>
      <c r="Q22" s="148">
        <f t="shared" si="3"/>
        <v>4</v>
      </c>
      <c r="R22" s="148">
        <f t="shared" si="4"/>
        <v>-26</v>
      </c>
      <c r="S22" s="18">
        <v>29</v>
      </c>
      <c r="T22" s="147">
        <f t="shared" si="5"/>
        <v>0</v>
      </c>
      <c r="U22" s="147">
        <f t="shared" si="6"/>
        <v>-11583.779999999999</v>
      </c>
      <c r="V22" s="143">
        <f t="shared" si="7"/>
        <v>129</v>
      </c>
      <c r="Y22" s="147"/>
    </row>
    <row r="23" spans="1:25" s="18" customFormat="1" ht="12.75">
      <c r="A23" s="161" t="s">
        <v>150</v>
      </c>
      <c r="B23" s="152">
        <v>42864</v>
      </c>
      <c r="C23" s="164" t="s">
        <v>151</v>
      </c>
      <c r="D23" s="165">
        <v>447.71</v>
      </c>
      <c r="E23" s="166"/>
      <c r="F23" s="169"/>
      <c r="K23" s="152">
        <v>42870</v>
      </c>
      <c r="L23" s="145"/>
      <c r="M23" s="152">
        <f t="shared" si="0"/>
        <v>42874</v>
      </c>
      <c r="N23" s="152">
        <v>42874</v>
      </c>
      <c r="O23" s="148">
        <f t="shared" si="1"/>
        <v>4</v>
      </c>
      <c r="P23" s="148">
        <f t="shared" si="2"/>
        <v>0</v>
      </c>
      <c r="Q23" s="148">
        <f t="shared" si="3"/>
        <v>4</v>
      </c>
      <c r="R23" s="148">
        <f t="shared" si="4"/>
        <v>-26</v>
      </c>
      <c r="S23" s="143">
        <v>29</v>
      </c>
      <c r="T23" s="147">
        <f t="shared" si="5"/>
        <v>0</v>
      </c>
      <c r="U23" s="147">
        <f t="shared" si="6"/>
        <v>-11640.46</v>
      </c>
      <c r="V23" s="143">
        <f t="shared" si="7"/>
        <v>129</v>
      </c>
      <c r="Y23" s="147"/>
    </row>
    <row r="24" spans="1:25" s="18" customFormat="1" ht="12.75">
      <c r="A24" s="161" t="s">
        <v>152</v>
      </c>
      <c r="B24" s="152">
        <v>42828</v>
      </c>
      <c r="C24" s="164" t="s">
        <v>153</v>
      </c>
      <c r="D24" s="165">
        <v>4.11</v>
      </c>
      <c r="E24" s="166"/>
      <c r="F24" s="169"/>
      <c r="K24" s="152">
        <v>42870</v>
      </c>
      <c r="L24" s="145"/>
      <c r="M24" s="152">
        <f t="shared" si="0"/>
        <v>42874</v>
      </c>
      <c r="N24" s="152">
        <v>42874</v>
      </c>
      <c r="O24" s="148">
        <f t="shared" si="1"/>
        <v>4</v>
      </c>
      <c r="P24" s="148">
        <f t="shared" si="2"/>
        <v>0</v>
      </c>
      <c r="Q24" s="148">
        <f t="shared" si="3"/>
        <v>4</v>
      </c>
      <c r="R24" s="148">
        <f t="shared" si="4"/>
        <v>-26</v>
      </c>
      <c r="S24" s="143">
        <v>22</v>
      </c>
      <c r="T24" s="147">
        <f t="shared" si="5"/>
        <v>0</v>
      </c>
      <c r="U24" s="147">
        <f t="shared" si="6"/>
        <v>-106.86000000000001</v>
      </c>
      <c r="V24" s="143">
        <f t="shared" si="7"/>
        <v>122</v>
      </c>
      <c r="Y24" s="147"/>
    </row>
    <row r="25" spans="1:25" s="18" customFormat="1" ht="12.75">
      <c r="A25" s="161" t="s">
        <v>154</v>
      </c>
      <c r="B25" s="152">
        <v>42836</v>
      </c>
      <c r="C25" s="164" t="s">
        <v>155</v>
      </c>
      <c r="D25" s="165">
        <v>6.79</v>
      </c>
      <c r="E25" s="166"/>
      <c r="F25" s="169"/>
      <c r="K25" s="152">
        <v>42870</v>
      </c>
      <c r="L25" s="145"/>
      <c r="M25" s="152">
        <f t="shared" si="0"/>
        <v>42874</v>
      </c>
      <c r="N25" s="152">
        <v>42874</v>
      </c>
      <c r="O25" s="148">
        <f t="shared" si="1"/>
        <v>4</v>
      </c>
      <c r="P25" s="148">
        <f t="shared" si="2"/>
        <v>0</v>
      </c>
      <c r="Q25" s="148">
        <f t="shared" si="3"/>
        <v>4</v>
      </c>
      <c r="R25" s="148">
        <f t="shared" si="4"/>
        <v>-26</v>
      </c>
      <c r="S25" s="143">
        <v>22</v>
      </c>
      <c r="T25" s="147">
        <f t="shared" si="5"/>
        <v>0</v>
      </c>
      <c r="U25" s="147">
        <f t="shared" si="6"/>
        <v>-176.54</v>
      </c>
      <c r="V25" s="143">
        <f t="shared" si="7"/>
        <v>122</v>
      </c>
      <c r="Y25" s="147"/>
    </row>
    <row r="26" spans="1:25" s="18" customFormat="1" ht="12.75">
      <c r="A26" s="161" t="s">
        <v>156</v>
      </c>
      <c r="B26" s="152">
        <v>42827</v>
      </c>
      <c r="C26" s="164" t="s">
        <v>157</v>
      </c>
      <c r="D26" s="165">
        <v>42.2</v>
      </c>
      <c r="E26" s="166"/>
      <c r="F26" s="169"/>
      <c r="K26" s="152">
        <v>42870</v>
      </c>
      <c r="L26" s="145"/>
      <c r="M26" s="152">
        <f t="shared" si="0"/>
        <v>42874</v>
      </c>
      <c r="N26" s="152">
        <v>42874</v>
      </c>
      <c r="O26" s="148">
        <f t="shared" si="1"/>
        <v>4</v>
      </c>
      <c r="P26" s="148">
        <f t="shared" si="2"/>
        <v>0</v>
      </c>
      <c r="Q26" s="148">
        <f t="shared" si="3"/>
        <v>4</v>
      </c>
      <c r="R26" s="148">
        <f t="shared" si="4"/>
        <v>-26</v>
      </c>
      <c r="S26" s="143">
        <v>29</v>
      </c>
      <c r="T26" s="147">
        <f t="shared" si="5"/>
        <v>0</v>
      </c>
      <c r="U26" s="147">
        <f t="shared" si="6"/>
        <v>-1097.2</v>
      </c>
      <c r="V26" s="143">
        <f t="shared" si="7"/>
        <v>129</v>
      </c>
      <c r="Y26" s="147"/>
    </row>
    <row r="27" spans="1:25" s="18" customFormat="1" ht="12.75">
      <c r="A27" s="161" t="s">
        <v>158</v>
      </c>
      <c r="B27" s="152">
        <v>42828</v>
      </c>
      <c r="C27" s="164" t="s">
        <v>159</v>
      </c>
      <c r="D27" s="165">
        <v>80</v>
      </c>
      <c r="E27" s="166"/>
      <c r="F27" s="169"/>
      <c r="K27" s="152">
        <f>M27</f>
        <v>42818</v>
      </c>
      <c r="L27" s="145"/>
      <c r="M27" s="152">
        <f t="shared" si="0"/>
        <v>42818</v>
      </c>
      <c r="N27" s="152">
        <v>42818</v>
      </c>
      <c r="O27" s="148">
        <f t="shared" si="1"/>
        <v>0</v>
      </c>
      <c r="P27" s="148">
        <f t="shared" si="2"/>
        <v>0</v>
      </c>
      <c r="Q27" s="148">
        <f t="shared" si="3"/>
        <v>0</v>
      </c>
      <c r="R27" s="148">
        <f t="shared" si="4"/>
        <v>-30</v>
      </c>
      <c r="S27" s="143">
        <v>29</v>
      </c>
      <c r="T27" s="147">
        <f t="shared" si="5"/>
        <v>0</v>
      </c>
      <c r="U27" s="147">
        <f t="shared" si="6"/>
        <v>-2400</v>
      </c>
      <c r="V27" s="143">
        <f t="shared" si="7"/>
        <v>129</v>
      </c>
      <c r="Y27" s="147"/>
    </row>
    <row r="28" spans="1:25" s="18" customFormat="1" ht="12.75">
      <c r="A28" s="161" t="s">
        <v>160</v>
      </c>
      <c r="B28" s="152">
        <v>42855</v>
      </c>
      <c r="C28" s="164" t="s">
        <v>161</v>
      </c>
      <c r="D28" s="165">
        <v>6522.84</v>
      </c>
      <c r="E28" s="166"/>
      <c r="F28" s="169"/>
      <c r="K28" s="152">
        <v>42871</v>
      </c>
      <c r="L28" s="145"/>
      <c r="M28" s="152">
        <f t="shared" si="0"/>
        <v>42874</v>
      </c>
      <c r="N28" s="152">
        <v>42874</v>
      </c>
      <c r="O28" s="148">
        <f t="shared" si="1"/>
        <v>3</v>
      </c>
      <c r="P28" s="148">
        <f t="shared" si="2"/>
        <v>0</v>
      </c>
      <c r="Q28" s="148">
        <f t="shared" si="3"/>
        <v>3</v>
      </c>
      <c r="R28" s="148">
        <f t="shared" si="4"/>
        <v>-27</v>
      </c>
      <c r="S28" s="143">
        <v>29</v>
      </c>
      <c r="T28" s="147">
        <f t="shared" si="5"/>
        <v>0</v>
      </c>
      <c r="U28" s="147">
        <f t="shared" si="6"/>
        <v>-176116.68</v>
      </c>
      <c r="V28" s="143">
        <f t="shared" si="7"/>
        <v>129</v>
      </c>
      <c r="Y28" s="147"/>
    </row>
    <row r="29" spans="1:25" s="143" customFormat="1" ht="12.75">
      <c r="A29" s="161" t="s">
        <v>162</v>
      </c>
      <c r="B29" s="152">
        <v>42858</v>
      </c>
      <c r="C29" s="164" t="s">
        <v>163</v>
      </c>
      <c r="D29" s="165">
        <v>5486.06</v>
      </c>
      <c r="E29" s="166"/>
      <c r="F29" s="170"/>
      <c r="K29" s="152">
        <v>42871</v>
      </c>
      <c r="L29" s="144"/>
      <c r="M29" s="152">
        <f t="shared" si="0"/>
        <v>42874</v>
      </c>
      <c r="N29" s="152">
        <v>42874</v>
      </c>
      <c r="O29" s="148">
        <f t="shared" si="1"/>
        <v>3</v>
      </c>
      <c r="P29" s="148">
        <f t="shared" si="2"/>
        <v>0</v>
      </c>
      <c r="Q29" s="148">
        <f t="shared" si="3"/>
        <v>3</v>
      </c>
      <c r="R29" s="148">
        <f t="shared" si="4"/>
        <v>-27</v>
      </c>
      <c r="S29" s="143">
        <v>29</v>
      </c>
      <c r="T29" s="147">
        <f t="shared" si="5"/>
        <v>0</v>
      </c>
      <c r="U29" s="147">
        <f t="shared" si="6"/>
        <v>-148123.62000000002</v>
      </c>
      <c r="V29" s="143">
        <f t="shared" si="7"/>
        <v>129</v>
      </c>
      <c r="Y29" s="147"/>
    </row>
    <row r="30" spans="1:25" s="18" customFormat="1" ht="12.75">
      <c r="A30" s="161" t="s">
        <v>164</v>
      </c>
      <c r="B30" s="152">
        <v>42857</v>
      </c>
      <c r="C30" s="164" t="s">
        <v>165</v>
      </c>
      <c r="D30" s="165">
        <v>17668.42</v>
      </c>
      <c r="E30" s="166"/>
      <c r="F30" s="169"/>
      <c r="K30" s="152">
        <f>M30</f>
        <v>42857</v>
      </c>
      <c r="L30" s="145"/>
      <c r="M30" s="152">
        <f t="shared" si="0"/>
        <v>42857</v>
      </c>
      <c r="N30" s="152">
        <v>42857</v>
      </c>
      <c r="O30" s="148">
        <f t="shared" si="1"/>
        <v>0</v>
      </c>
      <c r="P30" s="148">
        <f t="shared" si="2"/>
        <v>0</v>
      </c>
      <c r="Q30" s="148">
        <f t="shared" si="3"/>
        <v>0</v>
      </c>
      <c r="R30" s="148">
        <f t="shared" si="4"/>
        <v>-30</v>
      </c>
      <c r="S30" s="143">
        <v>29</v>
      </c>
      <c r="T30" s="147">
        <f t="shared" si="5"/>
        <v>0</v>
      </c>
      <c r="U30" s="147">
        <f t="shared" si="6"/>
        <v>-530052.6</v>
      </c>
      <c r="V30" s="143">
        <f t="shared" si="7"/>
        <v>129</v>
      </c>
      <c r="Y30" s="147"/>
    </row>
    <row r="31" spans="1:25" s="18" customFormat="1" ht="12.75">
      <c r="A31" s="161" t="s">
        <v>166</v>
      </c>
      <c r="B31" s="152">
        <v>42831</v>
      </c>
      <c r="C31" s="164" t="s">
        <v>167</v>
      </c>
      <c r="D31" s="165">
        <v>508.2</v>
      </c>
      <c r="E31" s="166"/>
      <c r="F31" s="169"/>
      <c r="K31" s="152">
        <f>M31</f>
        <v>42850</v>
      </c>
      <c r="L31" s="145"/>
      <c r="M31" s="152">
        <f t="shared" si="0"/>
        <v>42850</v>
      </c>
      <c r="N31" s="152">
        <v>42850</v>
      </c>
      <c r="O31" s="148">
        <f t="shared" si="1"/>
        <v>0</v>
      </c>
      <c r="P31" s="148">
        <f t="shared" si="2"/>
        <v>0</v>
      </c>
      <c r="Q31" s="148">
        <f t="shared" si="3"/>
        <v>0</v>
      </c>
      <c r="R31" s="148">
        <f t="shared" si="4"/>
        <v>-30</v>
      </c>
      <c r="S31" s="143">
        <v>29</v>
      </c>
      <c r="T31" s="147">
        <f t="shared" si="5"/>
        <v>0</v>
      </c>
      <c r="U31" s="147">
        <f t="shared" si="6"/>
        <v>-15246</v>
      </c>
      <c r="V31" s="143">
        <f t="shared" si="7"/>
        <v>129</v>
      </c>
      <c r="Y31" s="147"/>
    </row>
    <row r="32" spans="1:25" s="18" customFormat="1" ht="12.75">
      <c r="A32" s="161" t="s">
        <v>168</v>
      </c>
      <c r="B32" s="152">
        <v>42837</v>
      </c>
      <c r="C32" s="164" t="s">
        <v>169</v>
      </c>
      <c r="D32" s="165">
        <v>598.22</v>
      </c>
      <c r="E32" s="166"/>
      <c r="F32" s="169"/>
      <c r="K32" s="152">
        <f>M32</f>
        <v>42844</v>
      </c>
      <c r="L32" s="145"/>
      <c r="M32" s="152">
        <f t="shared" si="0"/>
        <v>42844</v>
      </c>
      <c r="N32" s="152">
        <v>42844</v>
      </c>
      <c r="O32" s="148">
        <f t="shared" si="1"/>
        <v>0</v>
      </c>
      <c r="P32" s="148">
        <f t="shared" si="2"/>
        <v>0</v>
      </c>
      <c r="Q32" s="148">
        <f t="shared" si="3"/>
        <v>0</v>
      </c>
      <c r="R32" s="148">
        <f t="shared" si="4"/>
        <v>-30</v>
      </c>
      <c r="S32" s="143">
        <v>29</v>
      </c>
      <c r="T32" s="147">
        <f t="shared" si="5"/>
        <v>0</v>
      </c>
      <c r="U32" s="147">
        <f t="shared" si="6"/>
        <v>-17946.600000000002</v>
      </c>
      <c r="V32" s="143">
        <f t="shared" si="7"/>
        <v>129</v>
      </c>
      <c r="Y32" s="147"/>
    </row>
    <row r="33" spans="1:25" s="18" customFormat="1" ht="12.75">
      <c r="A33" s="161" t="s">
        <v>170</v>
      </c>
      <c r="B33" s="152">
        <v>42843</v>
      </c>
      <c r="C33" s="164" t="s">
        <v>171</v>
      </c>
      <c r="D33" s="165">
        <v>556.98</v>
      </c>
      <c r="E33" s="166"/>
      <c r="F33" s="169"/>
      <c r="K33" s="152">
        <f>M33</f>
        <v>42845</v>
      </c>
      <c r="L33" s="145"/>
      <c r="M33" s="152">
        <f t="shared" si="0"/>
        <v>42845</v>
      </c>
      <c r="N33" s="152">
        <v>42845</v>
      </c>
      <c r="O33" s="148">
        <f t="shared" si="1"/>
        <v>0</v>
      </c>
      <c r="P33" s="148">
        <f t="shared" si="2"/>
        <v>0</v>
      </c>
      <c r="Q33" s="148">
        <f t="shared" si="3"/>
        <v>0</v>
      </c>
      <c r="R33" s="148">
        <f t="shared" si="4"/>
        <v>-30</v>
      </c>
      <c r="S33" s="143">
        <v>29</v>
      </c>
      <c r="T33" s="147">
        <f t="shared" si="5"/>
        <v>0</v>
      </c>
      <c r="U33" s="147">
        <f t="shared" si="6"/>
        <v>-16709.4</v>
      </c>
      <c r="V33" s="143">
        <f t="shared" si="7"/>
        <v>129</v>
      </c>
      <c r="Y33" s="147"/>
    </row>
    <row r="34" spans="1:25" s="18" customFormat="1" ht="12.75">
      <c r="A34" s="161" t="s">
        <v>172</v>
      </c>
      <c r="B34" s="152">
        <v>42837</v>
      </c>
      <c r="C34" s="164" t="s">
        <v>173</v>
      </c>
      <c r="D34" s="165">
        <v>432.47</v>
      </c>
      <c r="E34" s="166"/>
      <c r="F34" s="169"/>
      <c r="K34" s="152">
        <f>M34</f>
        <v>42844</v>
      </c>
      <c r="L34" s="145"/>
      <c r="M34" s="152">
        <f t="shared" si="0"/>
        <v>42844</v>
      </c>
      <c r="N34" s="152">
        <v>42844</v>
      </c>
      <c r="O34" s="148">
        <f t="shared" si="1"/>
        <v>0</v>
      </c>
      <c r="P34" s="148">
        <f t="shared" si="2"/>
        <v>0</v>
      </c>
      <c r="Q34" s="148">
        <f t="shared" si="3"/>
        <v>0</v>
      </c>
      <c r="R34" s="148">
        <f t="shared" si="4"/>
        <v>-30</v>
      </c>
      <c r="S34" s="143">
        <v>29</v>
      </c>
      <c r="T34" s="147">
        <f t="shared" si="5"/>
        <v>0</v>
      </c>
      <c r="U34" s="147">
        <f t="shared" si="6"/>
        <v>-12974.1</v>
      </c>
      <c r="V34" s="143">
        <f t="shared" si="7"/>
        <v>129</v>
      </c>
      <c r="Y34" s="147"/>
    </row>
    <row r="35" spans="1:25" s="18" customFormat="1" ht="12.75">
      <c r="A35" s="161" t="s">
        <v>174</v>
      </c>
      <c r="B35" s="152">
        <v>42855</v>
      </c>
      <c r="C35" s="164" t="s">
        <v>175</v>
      </c>
      <c r="D35" s="165">
        <v>520.13</v>
      </c>
      <c r="E35" s="166"/>
      <c r="F35" s="169"/>
      <c r="K35" s="152">
        <v>42872</v>
      </c>
      <c r="L35" s="145"/>
      <c r="M35" s="152">
        <f t="shared" si="0"/>
        <v>42886</v>
      </c>
      <c r="N35" s="152">
        <v>42886</v>
      </c>
      <c r="O35" s="148">
        <f t="shared" si="1"/>
        <v>14</v>
      </c>
      <c r="P35" s="148">
        <f t="shared" si="2"/>
        <v>0</v>
      </c>
      <c r="Q35" s="148">
        <f t="shared" si="3"/>
        <v>14</v>
      </c>
      <c r="R35" s="148">
        <f t="shared" si="4"/>
        <v>-16</v>
      </c>
      <c r="S35" s="143">
        <v>22</v>
      </c>
      <c r="T35" s="147">
        <f t="shared" si="5"/>
        <v>0</v>
      </c>
      <c r="U35" s="147">
        <f t="shared" si="6"/>
        <v>-8322.08</v>
      </c>
      <c r="V35" s="143">
        <f t="shared" si="7"/>
        <v>122</v>
      </c>
      <c r="Y35" s="147"/>
    </row>
    <row r="36" spans="1:25" s="18" customFormat="1" ht="12.75">
      <c r="A36" s="161" t="s">
        <v>176</v>
      </c>
      <c r="B36" s="152">
        <v>42829</v>
      </c>
      <c r="C36" s="164" t="s">
        <v>177</v>
      </c>
      <c r="D36" s="165">
        <v>369.73</v>
      </c>
      <c r="E36" s="166"/>
      <c r="F36" s="169"/>
      <c r="K36" s="152">
        <v>42872</v>
      </c>
      <c r="L36" s="145"/>
      <c r="M36" s="152">
        <f t="shared" si="0"/>
        <v>42874</v>
      </c>
      <c r="N36" s="152">
        <v>42874</v>
      </c>
      <c r="O36" s="148">
        <f t="shared" si="1"/>
        <v>2</v>
      </c>
      <c r="P36" s="148">
        <f t="shared" si="2"/>
        <v>0</v>
      </c>
      <c r="Q36" s="148">
        <f t="shared" si="3"/>
        <v>2</v>
      </c>
      <c r="R36" s="148">
        <f t="shared" si="4"/>
        <v>-28</v>
      </c>
      <c r="S36" s="143">
        <v>21</v>
      </c>
      <c r="T36" s="147">
        <f t="shared" si="5"/>
        <v>0</v>
      </c>
      <c r="U36" s="147">
        <f t="shared" si="6"/>
        <v>-10352.44</v>
      </c>
      <c r="V36" s="143">
        <f t="shared" si="7"/>
        <v>121</v>
      </c>
      <c r="Y36" s="147"/>
    </row>
    <row r="37" spans="1:25" s="18" customFormat="1" ht="12.75">
      <c r="A37" s="161" t="s">
        <v>178</v>
      </c>
      <c r="B37" s="152">
        <v>42855</v>
      </c>
      <c r="C37" s="164" t="s">
        <v>179</v>
      </c>
      <c r="D37" s="165">
        <v>256.2</v>
      </c>
      <c r="E37" s="166"/>
      <c r="F37" s="169"/>
      <c r="K37" s="152">
        <v>42872</v>
      </c>
      <c r="L37" s="145"/>
      <c r="M37" s="152">
        <f t="shared" si="0"/>
        <v>42874</v>
      </c>
      <c r="N37" s="152">
        <v>42874</v>
      </c>
      <c r="O37" s="148">
        <f t="shared" si="1"/>
        <v>2</v>
      </c>
      <c r="P37" s="148">
        <f t="shared" si="2"/>
        <v>0</v>
      </c>
      <c r="Q37" s="148">
        <f t="shared" si="3"/>
        <v>2</v>
      </c>
      <c r="R37" s="148">
        <f t="shared" si="4"/>
        <v>-28</v>
      </c>
      <c r="S37" s="143">
        <v>29</v>
      </c>
      <c r="T37" s="147">
        <f t="shared" si="5"/>
        <v>0</v>
      </c>
      <c r="U37" s="147">
        <f t="shared" si="6"/>
        <v>-7173.599999999999</v>
      </c>
      <c r="V37" s="143">
        <f t="shared" si="7"/>
        <v>129</v>
      </c>
      <c r="Y37" s="147"/>
    </row>
    <row r="38" spans="1:25" s="18" customFormat="1" ht="12.75">
      <c r="A38" s="161" t="s">
        <v>180</v>
      </c>
      <c r="B38" s="152">
        <v>42851</v>
      </c>
      <c r="C38" s="164" t="s">
        <v>181</v>
      </c>
      <c r="D38" s="165">
        <v>138.5</v>
      </c>
      <c r="E38" s="166"/>
      <c r="F38" s="169"/>
      <c r="K38" s="152">
        <v>42872</v>
      </c>
      <c r="L38" s="145"/>
      <c r="M38" s="152">
        <f aca="true" t="shared" si="8" ref="M38:M68">+N38</f>
        <v>42874</v>
      </c>
      <c r="N38" s="152">
        <v>42874</v>
      </c>
      <c r="O38" s="148">
        <f aca="true" t="shared" si="9" ref="O38:O69">+M38-K38</f>
        <v>2</v>
      </c>
      <c r="P38" s="148">
        <f aca="true" t="shared" si="10" ref="P38:P69">+N38-M38</f>
        <v>0</v>
      </c>
      <c r="Q38" s="148">
        <f aca="true" t="shared" si="11" ref="Q38:Q69">+N38-K38</f>
        <v>2</v>
      </c>
      <c r="R38" s="148">
        <f aca="true" t="shared" si="12" ref="R38:R69">+Q38-30</f>
        <v>-28</v>
      </c>
      <c r="S38" s="143">
        <v>22</v>
      </c>
      <c r="T38" s="147">
        <f aca="true" t="shared" si="13" ref="T38:T69">+P38*D38</f>
        <v>0</v>
      </c>
      <c r="U38" s="147">
        <f t="shared" si="6"/>
        <v>-3878</v>
      </c>
      <c r="V38" s="143">
        <f t="shared" si="7"/>
        <v>122</v>
      </c>
      <c r="Y38" s="147"/>
    </row>
    <row r="39" spans="1:25" s="18" customFormat="1" ht="12.75">
      <c r="A39" s="161" t="s">
        <v>182</v>
      </c>
      <c r="B39" s="152">
        <v>42851</v>
      </c>
      <c r="C39" s="164" t="s">
        <v>183</v>
      </c>
      <c r="D39" s="165">
        <v>6.17</v>
      </c>
      <c r="E39" s="166"/>
      <c r="F39" s="169"/>
      <c r="K39" s="152">
        <v>42872</v>
      </c>
      <c r="L39" s="145"/>
      <c r="M39" s="152">
        <f t="shared" si="8"/>
        <v>42874</v>
      </c>
      <c r="N39" s="152">
        <v>42874</v>
      </c>
      <c r="O39" s="148">
        <f t="shared" si="9"/>
        <v>2</v>
      </c>
      <c r="P39" s="148">
        <f t="shared" si="10"/>
        <v>0</v>
      </c>
      <c r="Q39" s="148">
        <f t="shared" si="11"/>
        <v>2</v>
      </c>
      <c r="R39" s="148">
        <f t="shared" si="12"/>
        <v>-28</v>
      </c>
      <c r="S39" s="143">
        <v>22</v>
      </c>
      <c r="T39" s="147">
        <f t="shared" si="13"/>
        <v>0</v>
      </c>
      <c r="U39" s="147">
        <f t="shared" si="6"/>
        <v>-172.76</v>
      </c>
      <c r="V39" s="143">
        <f t="shared" si="7"/>
        <v>122</v>
      </c>
      <c r="Y39" s="147"/>
    </row>
    <row r="40" spans="1:25" s="18" customFormat="1" ht="12.75">
      <c r="A40" s="161" t="s">
        <v>184</v>
      </c>
      <c r="B40" s="152">
        <v>42856</v>
      </c>
      <c r="C40" s="164" t="s">
        <v>185</v>
      </c>
      <c r="D40" s="165">
        <v>32.28</v>
      </c>
      <c r="E40" s="166"/>
      <c r="F40" s="169"/>
      <c r="K40" s="152">
        <v>42872</v>
      </c>
      <c r="L40" s="145"/>
      <c r="M40" s="152">
        <f t="shared" si="8"/>
        <v>42874</v>
      </c>
      <c r="N40" s="152">
        <v>42874</v>
      </c>
      <c r="O40" s="148">
        <f t="shared" si="9"/>
        <v>2</v>
      </c>
      <c r="P40" s="148">
        <f t="shared" si="10"/>
        <v>0</v>
      </c>
      <c r="Q40" s="148">
        <f t="shared" si="11"/>
        <v>2</v>
      </c>
      <c r="R40" s="148">
        <f t="shared" si="12"/>
        <v>-28</v>
      </c>
      <c r="S40" s="143">
        <v>29</v>
      </c>
      <c r="T40" s="147">
        <f t="shared" si="13"/>
        <v>0</v>
      </c>
      <c r="U40" s="147">
        <f t="shared" si="6"/>
        <v>-903.84</v>
      </c>
      <c r="V40" s="143">
        <f t="shared" si="7"/>
        <v>129</v>
      </c>
      <c r="Y40" s="147"/>
    </row>
    <row r="41" spans="1:25" s="18" customFormat="1" ht="12.75">
      <c r="A41" s="161" t="s">
        <v>186</v>
      </c>
      <c r="B41" s="152">
        <v>42856</v>
      </c>
      <c r="C41" s="164" t="s">
        <v>187</v>
      </c>
      <c r="D41" s="165">
        <v>198.39</v>
      </c>
      <c r="E41" s="166"/>
      <c r="F41" s="169"/>
      <c r="K41" s="152">
        <v>42872</v>
      </c>
      <c r="L41" s="145"/>
      <c r="M41" s="152">
        <f t="shared" si="8"/>
        <v>42874</v>
      </c>
      <c r="N41" s="152">
        <v>42874</v>
      </c>
      <c r="O41" s="148">
        <f t="shared" si="9"/>
        <v>2</v>
      </c>
      <c r="P41" s="148">
        <f t="shared" si="10"/>
        <v>0</v>
      </c>
      <c r="Q41" s="148">
        <f t="shared" si="11"/>
        <v>2</v>
      </c>
      <c r="R41" s="148">
        <f t="shared" si="12"/>
        <v>-28</v>
      </c>
      <c r="S41" s="143">
        <v>29</v>
      </c>
      <c r="T41" s="147">
        <f t="shared" si="13"/>
        <v>0</v>
      </c>
      <c r="U41" s="147">
        <f t="shared" si="6"/>
        <v>-5554.92</v>
      </c>
      <c r="V41" s="143">
        <f t="shared" si="7"/>
        <v>129</v>
      </c>
      <c r="Y41" s="147"/>
    </row>
    <row r="42" spans="1:25" s="18" customFormat="1" ht="12.75">
      <c r="A42" s="161" t="s">
        <v>188</v>
      </c>
      <c r="B42" s="152">
        <v>42842</v>
      </c>
      <c r="C42" s="164" t="s">
        <v>189</v>
      </c>
      <c r="D42" s="165">
        <v>407.23</v>
      </c>
      <c r="E42" s="166"/>
      <c r="F42" s="169"/>
      <c r="K42" s="152">
        <f aca="true" t="shared" si="14" ref="K42:K47">M42</f>
        <v>42844</v>
      </c>
      <c r="L42" s="145"/>
      <c r="M42" s="152">
        <f t="shared" si="8"/>
        <v>42844</v>
      </c>
      <c r="N42" s="152">
        <v>42844</v>
      </c>
      <c r="O42" s="148">
        <f t="shared" si="9"/>
        <v>0</v>
      </c>
      <c r="P42" s="148">
        <f t="shared" si="10"/>
        <v>0</v>
      </c>
      <c r="Q42" s="148">
        <f t="shared" si="11"/>
        <v>0</v>
      </c>
      <c r="R42" s="148">
        <f t="shared" si="12"/>
        <v>-30</v>
      </c>
      <c r="S42" s="143">
        <v>29</v>
      </c>
      <c r="T42" s="147">
        <f t="shared" si="13"/>
        <v>0</v>
      </c>
      <c r="U42" s="147">
        <f t="shared" si="6"/>
        <v>-12216.900000000001</v>
      </c>
      <c r="V42" s="143">
        <f t="shared" si="7"/>
        <v>129</v>
      </c>
      <c r="Y42" s="147"/>
    </row>
    <row r="43" spans="1:25" s="18" customFormat="1" ht="12.75">
      <c r="A43" s="161" t="s">
        <v>190</v>
      </c>
      <c r="B43" s="152">
        <v>42842</v>
      </c>
      <c r="C43" s="164" t="s">
        <v>191</v>
      </c>
      <c r="D43" s="165">
        <v>19.74</v>
      </c>
      <c r="E43" s="166"/>
      <c r="F43" s="169"/>
      <c r="K43" s="152">
        <f t="shared" si="14"/>
        <v>42850</v>
      </c>
      <c r="L43" s="145"/>
      <c r="M43" s="152">
        <f t="shared" si="8"/>
        <v>42850</v>
      </c>
      <c r="N43" s="152">
        <v>42850</v>
      </c>
      <c r="O43" s="148">
        <f t="shared" si="9"/>
        <v>0</v>
      </c>
      <c r="P43" s="148">
        <f t="shared" si="10"/>
        <v>0</v>
      </c>
      <c r="Q43" s="148">
        <f t="shared" si="11"/>
        <v>0</v>
      </c>
      <c r="R43" s="148">
        <f t="shared" si="12"/>
        <v>-30</v>
      </c>
      <c r="S43" s="143">
        <v>29</v>
      </c>
      <c r="T43" s="147">
        <f t="shared" si="13"/>
        <v>0</v>
      </c>
      <c r="U43" s="147">
        <f t="shared" si="6"/>
        <v>-592.1999999999999</v>
      </c>
      <c r="V43" s="143">
        <f t="shared" si="7"/>
        <v>129</v>
      </c>
      <c r="Y43" s="147"/>
    </row>
    <row r="44" spans="1:25" s="18" customFormat="1" ht="12.75">
      <c r="A44" s="161" t="s">
        <v>192</v>
      </c>
      <c r="B44" s="152">
        <v>42842</v>
      </c>
      <c r="C44" s="164" t="s">
        <v>193</v>
      </c>
      <c r="D44" s="165">
        <v>17.92</v>
      </c>
      <c r="E44" s="169"/>
      <c r="J44" s="145"/>
      <c r="K44" s="152">
        <f t="shared" si="14"/>
        <v>42850</v>
      </c>
      <c r="L44" s="152"/>
      <c r="M44" s="152">
        <f t="shared" si="8"/>
        <v>42850</v>
      </c>
      <c r="N44" s="152">
        <v>42850</v>
      </c>
      <c r="O44" s="148">
        <f t="shared" si="9"/>
        <v>0</v>
      </c>
      <c r="P44" s="148">
        <f t="shared" si="10"/>
        <v>0</v>
      </c>
      <c r="Q44" s="148">
        <f t="shared" si="11"/>
        <v>0</v>
      </c>
      <c r="R44" s="148">
        <f t="shared" si="12"/>
        <v>-30</v>
      </c>
      <c r="S44" s="143">
        <v>29</v>
      </c>
      <c r="T44" s="147">
        <f t="shared" si="13"/>
        <v>0</v>
      </c>
      <c r="U44" s="147">
        <f t="shared" si="6"/>
        <v>-537.6</v>
      </c>
      <c r="V44" s="143">
        <f t="shared" si="7"/>
        <v>129</v>
      </c>
      <c r="Y44" s="147"/>
    </row>
    <row r="45" spans="1:25" s="18" customFormat="1" ht="12.75">
      <c r="A45" s="161" t="s">
        <v>194</v>
      </c>
      <c r="B45" s="152">
        <v>42842</v>
      </c>
      <c r="C45" s="164" t="s">
        <v>195</v>
      </c>
      <c r="D45" s="165">
        <v>58.72</v>
      </c>
      <c r="E45" s="169"/>
      <c r="J45" s="145"/>
      <c r="K45" s="152">
        <f t="shared" si="14"/>
        <v>42850</v>
      </c>
      <c r="L45" s="152"/>
      <c r="M45" s="152">
        <f t="shared" si="8"/>
        <v>42850</v>
      </c>
      <c r="N45" s="152">
        <v>42850</v>
      </c>
      <c r="O45" s="148">
        <f t="shared" si="9"/>
        <v>0</v>
      </c>
      <c r="P45" s="148">
        <f t="shared" si="10"/>
        <v>0</v>
      </c>
      <c r="Q45" s="148">
        <f t="shared" si="11"/>
        <v>0</v>
      </c>
      <c r="R45" s="148">
        <f t="shared" si="12"/>
        <v>-30</v>
      </c>
      <c r="S45" s="143">
        <v>29</v>
      </c>
      <c r="T45" s="147">
        <f t="shared" si="13"/>
        <v>0</v>
      </c>
      <c r="U45" s="147">
        <f>+R45*D45</f>
        <v>-1761.6</v>
      </c>
      <c r="V45" s="143">
        <f t="shared" si="7"/>
        <v>129</v>
      </c>
      <c r="Y45" s="147"/>
    </row>
    <row r="46" spans="1:25" s="18" customFormat="1" ht="12.75">
      <c r="A46" s="161" t="s">
        <v>196</v>
      </c>
      <c r="B46" s="152">
        <v>42842</v>
      </c>
      <c r="C46" s="164" t="s">
        <v>197</v>
      </c>
      <c r="D46" s="165">
        <v>63.53</v>
      </c>
      <c r="E46" s="166"/>
      <c r="F46" s="169"/>
      <c r="K46" s="152">
        <f t="shared" si="14"/>
        <v>42850</v>
      </c>
      <c r="L46" s="145"/>
      <c r="M46" s="152">
        <f t="shared" si="8"/>
        <v>42850</v>
      </c>
      <c r="N46" s="152">
        <v>42850</v>
      </c>
      <c r="O46" s="148">
        <f t="shared" si="9"/>
        <v>0</v>
      </c>
      <c r="P46" s="148">
        <f t="shared" si="10"/>
        <v>0</v>
      </c>
      <c r="Q46" s="148">
        <f t="shared" si="11"/>
        <v>0</v>
      </c>
      <c r="R46" s="148">
        <f t="shared" si="12"/>
        <v>-30</v>
      </c>
      <c r="S46" s="143">
        <v>29</v>
      </c>
      <c r="T46" s="147">
        <f t="shared" si="13"/>
        <v>0</v>
      </c>
      <c r="U46" s="147">
        <f t="shared" si="6"/>
        <v>-1905.9</v>
      </c>
      <c r="V46" s="143">
        <f t="shared" si="7"/>
        <v>129</v>
      </c>
      <c r="Y46" s="147"/>
    </row>
    <row r="47" spans="1:25" s="18" customFormat="1" ht="12.75">
      <c r="A47" s="161" t="s">
        <v>198</v>
      </c>
      <c r="B47" s="152">
        <v>42843</v>
      </c>
      <c r="C47" s="164" t="s">
        <v>199</v>
      </c>
      <c r="D47" s="165">
        <v>16.61</v>
      </c>
      <c r="E47" s="166"/>
      <c r="F47" s="169"/>
      <c r="K47" s="152">
        <f t="shared" si="14"/>
        <v>42851</v>
      </c>
      <c r="L47" s="145"/>
      <c r="M47" s="152">
        <f t="shared" si="8"/>
        <v>42851</v>
      </c>
      <c r="N47" s="152">
        <v>42851</v>
      </c>
      <c r="O47" s="148">
        <f t="shared" si="9"/>
        <v>0</v>
      </c>
      <c r="P47" s="148">
        <f t="shared" si="10"/>
        <v>0</v>
      </c>
      <c r="Q47" s="148">
        <f t="shared" si="11"/>
        <v>0</v>
      </c>
      <c r="R47" s="148">
        <f t="shared" si="12"/>
        <v>-30</v>
      </c>
      <c r="S47" s="143">
        <v>29</v>
      </c>
      <c r="T47" s="147">
        <f t="shared" si="13"/>
        <v>0</v>
      </c>
      <c r="U47" s="147">
        <f t="shared" si="6"/>
        <v>-498.29999999999995</v>
      </c>
      <c r="V47" s="143">
        <f t="shared" si="7"/>
        <v>129</v>
      </c>
      <c r="Y47" s="147"/>
    </row>
    <row r="48" spans="1:25" s="18" customFormat="1" ht="12.75">
      <c r="A48" s="161" t="s">
        <v>200</v>
      </c>
      <c r="B48" s="152">
        <v>42830</v>
      </c>
      <c r="C48" s="164" t="s">
        <v>201</v>
      </c>
      <c r="D48" s="165">
        <v>132.01</v>
      </c>
      <c r="E48" s="166"/>
      <c r="F48" s="169"/>
      <c r="K48" s="152">
        <v>42872</v>
      </c>
      <c r="L48" s="145"/>
      <c r="M48" s="152">
        <f t="shared" si="8"/>
        <v>42901</v>
      </c>
      <c r="N48" s="152">
        <v>42901</v>
      </c>
      <c r="O48" s="148">
        <f t="shared" si="9"/>
        <v>29</v>
      </c>
      <c r="P48" s="148">
        <f t="shared" si="10"/>
        <v>0</v>
      </c>
      <c r="Q48" s="148">
        <f t="shared" si="11"/>
        <v>29</v>
      </c>
      <c r="R48" s="148">
        <f t="shared" si="12"/>
        <v>-1</v>
      </c>
      <c r="S48" s="143">
        <v>21</v>
      </c>
      <c r="T48" s="147">
        <f t="shared" si="13"/>
        <v>0</v>
      </c>
      <c r="U48" s="147">
        <f t="shared" si="6"/>
        <v>-132.01</v>
      </c>
      <c r="V48" s="143">
        <f t="shared" si="7"/>
        <v>121</v>
      </c>
      <c r="Y48" s="147"/>
    </row>
    <row r="49" spans="1:25" s="18" customFormat="1" ht="12.75">
      <c r="A49" s="161" t="s">
        <v>202</v>
      </c>
      <c r="B49" s="152">
        <v>42853</v>
      </c>
      <c r="C49" s="164" t="s">
        <v>203</v>
      </c>
      <c r="D49" s="165">
        <v>75.38</v>
      </c>
      <c r="E49" s="166"/>
      <c r="F49" s="169"/>
      <c r="K49" s="152">
        <f>M49</f>
        <v>42863</v>
      </c>
      <c r="L49" s="145"/>
      <c r="M49" s="152">
        <f t="shared" si="8"/>
        <v>42863</v>
      </c>
      <c r="N49" s="152">
        <v>42863</v>
      </c>
      <c r="O49" s="148">
        <f t="shared" si="9"/>
        <v>0</v>
      </c>
      <c r="P49" s="148">
        <f t="shared" si="10"/>
        <v>0</v>
      </c>
      <c r="Q49" s="148">
        <f t="shared" si="11"/>
        <v>0</v>
      </c>
      <c r="R49" s="148">
        <f t="shared" si="12"/>
        <v>-30</v>
      </c>
      <c r="S49" s="143">
        <v>22</v>
      </c>
      <c r="T49" s="147">
        <f t="shared" si="13"/>
        <v>0</v>
      </c>
      <c r="U49" s="147">
        <f t="shared" si="6"/>
        <v>-2261.3999999999996</v>
      </c>
      <c r="V49" s="143">
        <f t="shared" si="7"/>
        <v>122</v>
      </c>
      <c r="Y49" s="147"/>
    </row>
    <row r="50" spans="1:25" s="18" customFormat="1" ht="12.75">
      <c r="A50" s="161" t="s">
        <v>204</v>
      </c>
      <c r="B50" s="152">
        <v>42859</v>
      </c>
      <c r="C50" s="164" t="s">
        <v>205</v>
      </c>
      <c r="D50" s="165">
        <v>73.19</v>
      </c>
      <c r="E50" s="166"/>
      <c r="F50" s="169"/>
      <c r="K50" s="152">
        <f aca="true" t="shared" si="15" ref="K50:K55">M50</f>
        <v>42872</v>
      </c>
      <c r="L50" s="145"/>
      <c r="M50" s="152">
        <f t="shared" si="8"/>
        <v>42872</v>
      </c>
      <c r="N50" s="152">
        <v>42872</v>
      </c>
      <c r="O50" s="148">
        <f t="shared" si="9"/>
        <v>0</v>
      </c>
      <c r="P50" s="148">
        <f t="shared" si="10"/>
        <v>0</v>
      </c>
      <c r="Q50" s="148">
        <f t="shared" si="11"/>
        <v>0</v>
      </c>
      <c r="R50" s="148">
        <f t="shared" si="12"/>
        <v>-30</v>
      </c>
      <c r="S50" s="143">
        <v>22</v>
      </c>
      <c r="T50" s="147">
        <f t="shared" si="13"/>
        <v>0</v>
      </c>
      <c r="U50" s="147">
        <f t="shared" si="6"/>
        <v>-2195.7</v>
      </c>
      <c r="V50" s="143">
        <f t="shared" si="7"/>
        <v>122</v>
      </c>
      <c r="Y50" s="147"/>
    </row>
    <row r="51" spans="1:25" s="18" customFormat="1" ht="12.75">
      <c r="A51" s="161" t="s">
        <v>206</v>
      </c>
      <c r="B51" s="152">
        <v>42864</v>
      </c>
      <c r="C51" s="164" t="s">
        <v>207</v>
      </c>
      <c r="D51" s="165">
        <v>-73.19</v>
      </c>
      <c r="E51" s="166"/>
      <c r="F51" s="169"/>
      <c r="K51" s="152">
        <f t="shared" si="15"/>
        <v>42863</v>
      </c>
      <c r="L51" s="145"/>
      <c r="M51" s="152">
        <f t="shared" si="8"/>
        <v>42863</v>
      </c>
      <c r="N51" s="152">
        <v>42863</v>
      </c>
      <c r="O51" s="148">
        <f t="shared" si="9"/>
        <v>0</v>
      </c>
      <c r="P51" s="148">
        <f t="shared" si="10"/>
        <v>0</v>
      </c>
      <c r="Q51" s="148">
        <f t="shared" si="11"/>
        <v>0</v>
      </c>
      <c r="R51" s="148">
        <f t="shared" si="12"/>
        <v>-30</v>
      </c>
      <c r="S51" s="143">
        <v>22</v>
      </c>
      <c r="T51" s="147">
        <f t="shared" si="13"/>
        <v>0</v>
      </c>
      <c r="U51" s="147">
        <f t="shared" si="6"/>
        <v>2195.7</v>
      </c>
      <c r="V51" s="143">
        <f t="shared" si="7"/>
        <v>122</v>
      </c>
      <c r="Y51" s="147"/>
    </row>
    <row r="52" spans="1:25" s="18" customFormat="1" ht="12.75">
      <c r="A52" s="161" t="s">
        <v>208</v>
      </c>
      <c r="B52" s="152">
        <v>42855</v>
      </c>
      <c r="C52" s="164" t="s">
        <v>209</v>
      </c>
      <c r="D52" s="165">
        <v>1668.35</v>
      </c>
      <c r="E52" s="166"/>
      <c r="F52" s="169"/>
      <c r="K52" s="152">
        <f t="shared" si="15"/>
        <v>42858</v>
      </c>
      <c r="L52" s="145"/>
      <c r="M52" s="152">
        <f t="shared" si="8"/>
        <v>42858</v>
      </c>
      <c r="N52" s="152">
        <v>42858</v>
      </c>
      <c r="O52" s="148">
        <f t="shared" si="9"/>
        <v>0</v>
      </c>
      <c r="P52" s="148">
        <f t="shared" si="10"/>
        <v>0</v>
      </c>
      <c r="Q52" s="148">
        <f t="shared" si="11"/>
        <v>0</v>
      </c>
      <c r="R52" s="148">
        <f t="shared" si="12"/>
        <v>-30</v>
      </c>
      <c r="S52" s="143">
        <v>29</v>
      </c>
      <c r="T52" s="147">
        <f t="shared" si="13"/>
        <v>0</v>
      </c>
      <c r="U52" s="147">
        <f t="shared" si="6"/>
        <v>-50050.5</v>
      </c>
      <c r="V52" s="143">
        <f t="shared" si="7"/>
        <v>129</v>
      </c>
      <c r="Y52" s="147"/>
    </row>
    <row r="53" spans="1:25" s="18" customFormat="1" ht="12.75">
      <c r="A53" s="161" t="s">
        <v>210</v>
      </c>
      <c r="B53" s="152">
        <v>42886</v>
      </c>
      <c r="C53" s="164" t="s">
        <v>211</v>
      </c>
      <c r="D53" s="165">
        <v>408.89</v>
      </c>
      <c r="E53" s="166"/>
      <c r="F53" s="169"/>
      <c r="K53" s="152">
        <f t="shared" si="15"/>
        <v>42862</v>
      </c>
      <c r="L53" s="145"/>
      <c r="M53" s="152">
        <f t="shared" si="8"/>
        <v>42862</v>
      </c>
      <c r="N53" s="152">
        <v>42862</v>
      </c>
      <c r="O53" s="148">
        <f t="shared" si="9"/>
        <v>0</v>
      </c>
      <c r="P53" s="148">
        <f t="shared" si="10"/>
        <v>0</v>
      </c>
      <c r="Q53" s="148">
        <f t="shared" si="11"/>
        <v>0</v>
      </c>
      <c r="R53" s="148">
        <f t="shared" si="12"/>
        <v>-30</v>
      </c>
      <c r="S53" s="143">
        <v>29</v>
      </c>
      <c r="T53" s="147">
        <f t="shared" si="13"/>
        <v>0</v>
      </c>
      <c r="U53" s="147">
        <f t="shared" si="6"/>
        <v>-12266.699999999999</v>
      </c>
      <c r="V53" s="143">
        <f t="shared" si="7"/>
        <v>129</v>
      </c>
      <c r="Y53" s="147"/>
    </row>
    <row r="54" spans="1:25" s="18" customFormat="1" ht="12.75">
      <c r="A54" s="161" t="s">
        <v>212</v>
      </c>
      <c r="B54" s="152">
        <v>42855</v>
      </c>
      <c r="C54" s="164" t="s">
        <v>213</v>
      </c>
      <c r="D54" s="165">
        <v>1108.17</v>
      </c>
      <c r="E54" s="166"/>
      <c r="F54" s="169"/>
      <c r="K54" s="152">
        <f t="shared" si="15"/>
        <v>42858</v>
      </c>
      <c r="L54" s="145"/>
      <c r="M54" s="152">
        <f t="shared" si="8"/>
        <v>42858</v>
      </c>
      <c r="N54" s="152">
        <v>42858</v>
      </c>
      <c r="O54" s="148">
        <f t="shared" si="9"/>
        <v>0</v>
      </c>
      <c r="P54" s="148">
        <f t="shared" si="10"/>
        <v>0</v>
      </c>
      <c r="Q54" s="148">
        <f t="shared" si="11"/>
        <v>0</v>
      </c>
      <c r="R54" s="148">
        <f t="shared" si="12"/>
        <v>-30</v>
      </c>
      <c r="S54" s="143">
        <v>29</v>
      </c>
      <c r="T54" s="147">
        <f t="shared" si="13"/>
        <v>0</v>
      </c>
      <c r="U54" s="147">
        <f t="shared" si="6"/>
        <v>-33245.100000000006</v>
      </c>
      <c r="V54" s="143">
        <f t="shared" si="7"/>
        <v>129</v>
      </c>
      <c r="Y54" s="147"/>
    </row>
    <row r="55" spans="1:25" s="18" customFormat="1" ht="12.75">
      <c r="A55" s="161" t="s">
        <v>214</v>
      </c>
      <c r="B55" s="152">
        <v>42837</v>
      </c>
      <c r="C55" s="164" t="s">
        <v>215</v>
      </c>
      <c r="D55" s="165">
        <v>229.86</v>
      </c>
      <c r="E55" s="166"/>
      <c r="F55" s="169"/>
      <c r="K55" s="152">
        <f t="shared" si="15"/>
        <v>42844</v>
      </c>
      <c r="L55" s="145"/>
      <c r="M55" s="152">
        <f t="shared" si="8"/>
        <v>42844</v>
      </c>
      <c r="N55" s="152">
        <v>42844</v>
      </c>
      <c r="O55" s="148">
        <f t="shared" si="9"/>
        <v>0</v>
      </c>
      <c r="P55" s="148">
        <f t="shared" si="10"/>
        <v>0</v>
      </c>
      <c r="Q55" s="148">
        <f t="shared" si="11"/>
        <v>0</v>
      </c>
      <c r="R55" s="148">
        <f t="shared" si="12"/>
        <v>-30</v>
      </c>
      <c r="S55" s="143">
        <v>29</v>
      </c>
      <c r="T55" s="147">
        <f t="shared" si="13"/>
        <v>0</v>
      </c>
      <c r="U55" s="147">
        <f t="shared" si="6"/>
        <v>-6895.8</v>
      </c>
      <c r="V55" s="143">
        <f t="shared" si="7"/>
        <v>129</v>
      </c>
      <c r="Y55" s="147"/>
    </row>
    <row r="56" spans="1:25" s="18" customFormat="1" ht="12.75">
      <c r="A56" s="161" t="s">
        <v>216</v>
      </c>
      <c r="B56" s="152">
        <v>42855</v>
      </c>
      <c r="C56" s="164" t="s">
        <v>217</v>
      </c>
      <c r="D56" s="165">
        <v>480</v>
      </c>
      <c r="E56" s="166"/>
      <c r="F56" s="169"/>
      <c r="K56" s="152">
        <v>42877</v>
      </c>
      <c r="L56" s="145"/>
      <c r="M56" s="152">
        <f t="shared" si="8"/>
        <v>42885</v>
      </c>
      <c r="N56" s="152">
        <v>42885</v>
      </c>
      <c r="O56" s="148">
        <f t="shared" si="9"/>
        <v>8</v>
      </c>
      <c r="P56" s="148">
        <f t="shared" si="10"/>
        <v>0</v>
      </c>
      <c r="Q56" s="148">
        <f t="shared" si="11"/>
        <v>8</v>
      </c>
      <c r="R56" s="148">
        <f t="shared" si="12"/>
        <v>-22</v>
      </c>
      <c r="S56" s="143">
        <v>29</v>
      </c>
      <c r="T56" s="147">
        <f t="shared" si="13"/>
        <v>0</v>
      </c>
      <c r="U56" s="147">
        <f t="shared" si="6"/>
        <v>-10560</v>
      </c>
      <c r="V56" s="143">
        <f t="shared" si="7"/>
        <v>129</v>
      </c>
      <c r="Y56" s="147"/>
    </row>
    <row r="57" spans="1:25" s="18" customFormat="1" ht="12.75">
      <c r="A57" s="161" t="s">
        <v>218</v>
      </c>
      <c r="B57" s="152">
        <v>42855</v>
      </c>
      <c r="C57" s="164" t="s">
        <v>219</v>
      </c>
      <c r="D57" s="165">
        <v>119.19</v>
      </c>
      <c r="E57" s="166"/>
      <c r="F57" s="169"/>
      <c r="K57" s="152">
        <f>M57</f>
        <v>42858</v>
      </c>
      <c r="L57" s="145"/>
      <c r="M57" s="152">
        <f t="shared" si="8"/>
        <v>42858</v>
      </c>
      <c r="N57" s="152">
        <v>42858</v>
      </c>
      <c r="O57" s="148">
        <f t="shared" si="9"/>
        <v>0</v>
      </c>
      <c r="P57" s="148">
        <f t="shared" si="10"/>
        <v>0</v>
      </c>
      <c r="Q57" s="148">
        <f t="shared" si="11"/>
        <v>0</v>
      </c>
      <c r="R57" s="148">
        <f t="shared" si="12"/>
        <v>-30</v>
      </c>
      <c r="S57" s="143">
        <v>29</v>
      </c>
      <c r="T57" s="147">
        <f t="shared" si="13"/>
        <v>0</v>
      </c>
      <c r="U57" s="147">
        <f t="shared" si="6"/>
        <v>-3575.7</v>
      </c>
      <c r="V57" s="143">
        <f t="shared" si="7"/>
        <v>129</v>
      </c>
      <c r="Y57" s="147"/>
    </row>
    <row r="58" spans="1:25" s="18" customFormat="1" ht="12.75">
      <c r="A58" s="161" t="s">
        <v>220</v>
      </c>
      <c r="B58" s="152">
        <v>42852</v>
      </c>
      <c r="C58" s="164" t="s">
        <v>221</v>
      </c>
      <c r="D58" s="165">
        <v>82.51</v>
      </c>
      <c r="E58" s="166"/>
      <c r="F58" s="169"/>
      <c r="K58" s="152">
        <v>42877</v>
      </c>
      <c r="L58" s="145"/>
      <c r="M58" s="152">
        <f t="shared" si="8"/>
        <v>42886</v>
      </c>
      <c r="N58" s="152">
        <v>42886</v>
      </c>
      <c r="O58" s="148">
        <f t="shared" si="9"/>
        <v>9</v>
      </c>
      <c r="P58" s="148">
        <f t="shared" si="10"/>
        <v>0</v>
      </c>
      <c r="Q58" s="148">
        <f t="shared" si="11"/>
        <v>9</v>
      </c>
      <c r="R58" s="148">
        <f t="shared" si="12"/>
        <v>-21</v>
      </c>
      <c r="S58" s="143">
        <v>29</v>
      </c>
      <c r="T58" s="147">
        <f t="shared" si="13"/>
        <v>0</v>
      </c>
      <c r="U58" s="147">
        <f t="shared" si="6"/>
        <v>-1732.71</v>
      </c>
      <c r="V58" s="143">
        <f t="shared" si="7"/>
        <v>129</v>
      </c>
      <c r="Y58" s="147"/>
    </row>
    <row r="59" spans="1:25" s="18" customFormat="1" ht="12.75">
      <c r="A59" s="161" t="s">
        <v>222</v>
      </c>
      <c r="B59" s="152">
        <v>42856</v>
      </c>
      <c r="C59" s="164" t="s">
        <v>223</v>
      </c>
      <c r="D59" s="165">
        <v>56.86</v>
      </c>
      <c r="E59" s="166"/>
      <c r="F59" s="169"/>
      <c r="K59" s="152">
        <f>M59</f>
        <v>42857</v>
      </c>
      <c r="L59" s="145"/>
      <c r="M59" s="152">
        <f t="shared" si="8"/>
        <v>42857</v>
      </c>
      <c r="N59" s="152">
        <v>42857</v>
      </c>
      <c r="O59" s="148">
        <f t="shared" si="9"/>
        <v>0</v>
      </c>
      <c r="P59" s="148">
        <f t="shared" si="10"/>
        <v>0</v>
      </c>
      <c r="Q59" s="148">
        <f t="shared" si="11"/>
        <v>0</v>
      </c>
      <c r="R59" s="148">
        <f t="shared" si="12"/>
        <v>-30</v>
      </c>
      <c r="S59" s="143">
        <v>21</v>
      </c>
      <c r="T59" s="147">
        <f t="shared" si="13"/>
        <v>0</v>
      </c>
      <c r="U59" s="147">
        <f t="shared" si="6"/>
        <v>-1705.8</v>
      </c>
      <c r="V59" s="143">
        <f t="shared" si="7"/>
        <v>121</v>
      </c>
      <c r="Y59" s="147"/>
    </row>
    <row r="60" spans="1:25" s="18" customFormat="1" ht="12.75">
      <c r="A60" s="161" t="s">
        <v>224</v>
      </c>
      <c r="B60" s="152">
        <v>42848</v>
      </c>
      <c r="C60" s="164" t="s">
        <v>225</v>
      </c>
      <c r="D60" s="165">
        <v>165.87</v>
      </c>
      <c r="E60" s="166"/>
      <c r="F60" s="169"/>
      <c r="K60" s="152">
        <v>42877</v>
      </c>
      <c r="L60" s="145"/>
      <c r="M60" s="152">
        <f t="shared" si="8"/>
        <v>42886</v>
      </c>
      <c r="N60" s="152">
        <v>42886</v>
      </c>
      <c r="O60" s="148">
        <f t="shared" si="9"/>
        <v>9</v>
      </c>
      <c r="P60" s="148">
        <f t="shared" si="10"/>
        <v>0</v>
      </c>
      <c r="Q60" s="148">
        <f t="shared" si="11"/>
        <v>9</v>
      </c>
      <c r="R60" s="148">
        <f t="shared" si="12"/>
        <v>-21</v>
      </c>
      <c r="S60" s="143">
        <v>29</v>
      </c>
      <c r="T60" s="147">
        <f t="shared" si="13"/>
        <v>0</v>
      </c>
      <c r="U60" s="147">
        <f t="shared" si="6"/>
        <v>-3483.27</v>
      </c>
      <c r="V60" s="143">
        <f t="shared" si="7"/>
        <v>129</v>
      </c>
      <c r="Y60" s="147"/>
    </row>
    <row r="61" spans="1:25" s="18" customFormat="1" ht="12.75">
      <c r="A61" s="161" t="s">
        <v>226</v>
      </c>
      <c r="B61" s="152">
        <v>42855</v>
      </c>
      <c r="C61" s="164" t="s">
        <v>227</v>
      </c>
      <c r="D61" s="165">
        <v>1762.78</v>
      </c>
      <c r="E61" s="166"/>
      <c r="F61" s="169"/>
      <c r="K61" s="152">
        <v>42877</v>
      </c>
      <c r="L61" s="145"/>
      <c r="M61" s="152">
        <f t="shared" si="8"/>
        <v>42886</v>
      </c>
      <c r="N61" s="152">
        <v>42886</v>
      </c>
      <c r="O61" s="148">
        <f t="shared" si="9"/>
        <v>9</v>
      </c>
      <c r="P61" s="148">
        <f t="shared" si="10"/>
        <v>0</v>
      </c>
      <c r="Q61" s="148">
        <f t="shared" si="11"/>
        <v>9</v>
      </c>
      <c r="R61" s="148">
        <f t="shared" si="12"/>
        <v>-21</v>
      </c>
      <c r="S61" s="143">
        <v>29</v>
      </c>
      <c r="T61" s="147">
        <f t="shared" si="13"/>
        <v>0</v>
      </c>
      <c r="U61" s="147">
        <f t="shared" si="6"/>
        <v>-37018.38</v>
      </c>
      <c r="V61" s="143">
        <f t="shared" si="7"/>
        <v>129</v>
      </c>
      <c r="Y61" s="147"/>
    </row>
    <row r="62" spans="1:25" s="18" customFormat="1" ht="12.75">
      <c r="A62" s="161" t="s">
        <v>228</v>
      </c>
      <c r="B62" s="152">
        <v>42855</v>
      </c>
      <c r="C62" s="164" t="s">
        <v>229</v>
      </c>
      <c r="D62" s="165">
        <v>182.02</v>
      </c>
      <c r="E62" s="166"/>
      <c r="F62" s="169"/>
      <c r="K62" s="152">
        <v>42877</v>
      </c>
      <c r="L62" s="145"/>
      <c r="M62" s="152">
        <f t="shared" si="8"/>
        <v>42885</v>
      </c>
      <c r="N62" s="152">
        <v>42885</v>
      </c>
      <c r="O62" s="148">
        <f t="shared" si="9"/>
        <v>8</v>
      </c>
      <c r="P62" s="148">
        <f t="shared" si="10"/>
        <v>0</v>
      </c>
      <c r="Q62" s="148">
        <f t="shared" si="11"/>
        <v>8</v>
      </c>
      <c r="R62" s="148">
        <f t="shared" si="12"/>
        <v>-22</v>
      </c>
      <c r="S62" s="143">
        <v>22</v>
      </c>
      <c r="T62" s="147">
        <f t="shared" si="13"/>
        <v>0</v>
      </c>
      <c r="U62" s="147">
        <f t="shared" si="6"/>
        <v>-4004.44</v>
      </c>
      <c r="V62" s="143">
        <f t="shared" si="7"/>
        <v>122</v>
      </c>
      <c r="Y62" s="147"/>
    </row>
    <row r="63" spans="1:25" s="18" customFormat="1" ht="12.75">
      <c r="A63" s="161" t="s">
        <v>230</v>
      </c>
      <c r="B63" s="152">
        <v>42855</v>
      </c>
      <c r="C63" s="164" t="s">
        <v>231</v>
      </c>
      <c r="D63" s="165">
        <v>59.27</v>
      </c>
      <c r="E63" s="166"/>
      <c r="F63" s="169"/>
      <c r="K63" s="152">
        <v>42877</v>
      </c>
      <c r="L63" s="145"/>
      <c r="M63" s="152">
        <f t="shared" si="8"/>
        <v>42886</v>
      </c>
      <c r="N63" s="152">
        <v>42886</v>
      </c>
      <c r="O63" s="148">
        <f t="shared" si="9"/>
        <v>9</v>
      </c>
      <c r="P63" s="148">
        <f t="shared" si="10"/>
        <v>0</v>
      </c>
      <c r="Q63" s="148">
        <f t="shared" si="11"/>
        <v>9</v>
      </c>
      <c r="R63" s="148">
        <f t="shared" si="12"/>
        <v>-21</v>
      </c>
      <c r="S63" s="143">
        <v>22</v>
      </c>
      <c r="T63" s="147">
        <f t="shared" si="13"/>
        <v>0</v>
      </c>
      <c r="U63" s="147">
        <f t="shared" si="6"/>
        <v>-1244.67</v>
      </c>
      <c r="V63" s="143">
        <f t="shared" si="7"/>
        <v>122</v>
      </c>
      <c r="Y63" s="147"/>
    </row>
    <row r="64" spans="1:25" s="18" customFormat="1" ht="12.75">
      <c r="A64" s="161" t="s">
        <v>232</v>
      </c>
      <c r="B64" s="152">
        <v>42826</v>
      </c>
      <c r="C64" s="164" t="s">
        <v>233</v>
      </c>
      <c r="D64" s="165">
        <v>172.87</v>
      </c>
      <c r="E64" s="166"/>
      <c r="F64" s="169"/>
      <c r="K64" s="152">
        <f>M64</f>
        <v>42825</v>
      </c>
      <c r="L64" s="145"/>
      <c r="M64" s="152">
        <f t="shared" si="8"/>
        <v>42825</v>
      </c>
      <c r="N64" s="152">
        <v>42825</v>
      </c>
      <c r="O64" s="148">
        <f t="shared" si="9"/>
        <v>0</v>
      </c>
      <c r="P64" s="148">
        <f t="shared" si="10"/>
        <v>0</v>
      </c>
      <c r="Q64" s="148">
        <f t="shared" si="11"/>
        <v>0</v>
      </c>
      <c r="R64" s="148">
        <f t="shared" si="12"/>
        <v>-30</v>
      </c>
      <c r="S64" s="143">
        <v>29</v>
      </c>
      <c r="T64" s="147">
        <f t="shared" si="13"/>
        <v>0</v>
      </c>
      <c r="U64" s="147">
        <f t="shared" si="6"/>
        <v>-5186.1</v>
      </c>
      <c r="V64" s="143">
        <f t="shared" si="7"/>
        <v>129</v>
      </c>
      <c r="Y64" s="147"/>
    </row>
    <row r="65" spans="1:25" s="18" customFormat="1" ht="12.75">
      <c r="A65" s="161" t="s">
        <v>234</v>
      </c>
      <c r="B65" s="152">
        <v>42826</v>
      </c>
      <c r="C65" s="164" t="s">
        <v>235</v>
      </c>
      <c r="D65" s="165">
        <v>293.74</v>
      </c>
      <c r="E65" s="166"/>
      <c r="F65" s="169"/>
      <c r="K65" s="152">
        <f>M65</f>
        <v>42825</v>
      </c>
      <c r="L65" s="145"/>
      <c r="M65" s="152">
        <f t="shared" si="8"/>
        <v>42825</v>
      </c>
      <c r="N65" s="152">
        <v>42825</v>
      </c>
      <c r="O65" s="148">
        <f t="shared" si="9"/>
        <v>0</v>
      </c>
      <c r="P65" s="148">
        <f t="shared" si="10"/>
        <v>0</v>
      </c>
      <c r="Q65" s="148">
        <f t="shared" si="11"/>
        <v>0</v>
      </c>
      <c r="R65" s="148">
        <f t="shared" si="12"/>
        <v>-30</v>
      </c>
      <c r="S65" s="143">
        <v>29</v>
      </c>
      <c r="T65" s="147">
        <f t="shared" si="13"/>
        <v>0</v>
      </c>
      <c r="U65" s="147">
        <f t="shared" si="6"/>
        <v>-8812.2</v>
      </c>
      <c r="V65" s="143">
        <f t="shared" si="7"/>
        <v>129</v>
      </c>
      <c r="Y65" s="147"/>
    </row>
    <row r="66" spans="1:25" s="18" customFormat="1" ht="12.75">
      <c r="A66" s="161" t="s">
        <v>236</v>
      </c>
      <c r="B66" s="152">
        <v>42855</v>
      </c>
      <c r="C66" s="164" t="s">
        <v>237</v>
      </c>
      <c r="D66" s="165">
        <v>5.45</v>
      </c>
      <c r="E66" s="166"/>
      <c r="F66" s="169"/>
      <c r="K66" s="152">
        <v>42877</v>
      </c>
      <c r="L66" s="145"/>
      <c r="M66" s="152">
        <f t="shared" si="8"/>
        <v>42886</v>
      </c>
      <c r="N66" s="152">
        <v>42886</v>
      </c>
      <c r="O66" s="148">
        <f t="shared" si="9"/>
        <v>9</v>
      </c>
      <c r="P66" s="148">
        <f t="shared" si="10"/>
        <v>0</v>
      </c>
      <c r="Q66" s="148">
        <f t="shared" si="11"/>
        <v>9</v>
      </c>
      <c r="R66" s="148">
        <f t="shared" si="12"/>
        <v>-21</v>
      </c>
      <c r="S66" s="143">
        <v>29</v>
      </c>
      <c r="T66" s="147">
        <f t="shared" si="13"/>
        <v>0</v>
      </c>
      <c r="U66" s="147">
        <f t="shared" si="6"/>
        <v>-114.45</v>
      </c>
      <c r="V66" s="143">
        <f t="shared" si="7"/>
        <v>129</v>
      </c>
      <c r="Y66" s="147"/>
    </row>
    <row r="67" spans="1:25" s="18" customFormat="1" ht="12.75">
      <c r="A67" s="161" t="s">
        <v>238</v>
      </c>
      <c r="B67" s="152">
        <v>42886</v>
      </c>
      <c r="C67" s="162" t="s">
        <v>239</v>
      </c>
      <c r="D67" s="163">
        <v>2346</v>
      </c>
      <c r="E67" s="166"/>
      <c r="F67" s="169"/>
      <c r="K67" s="152">
        <v>42877</v>
      </c>
      <c r="L67" s="145"/>
      <c r="M67" s="152">
        <f t="shared" si="8"/>
        <v>42886</v>
      </c>
      <c r="N67" s="152">
        <v>42886</v>
      </c>
      <c r="O67" s="148">
        <f t="shared" si="9"/>
        <v>9</v>
      </c>
      <c r="P67" s="148">
        <f t="shared" si="10"/>
        <v>0</v>
      </c>
      <c r="Q67" s="148">
        <f t="shared" si="11"/>
        <v>9</v>
      </c>
      <c r="R67" s="148">
        <f t="shared" si="12"/>
        <v>-21</v>
      </c>
      <c r="S67" s="143">
        <v>29</v>
      </c>
      <c r="T67" s="147">
        <f t="shared" si="13"/>
        <v>0</v>
      </c>
      <c r="U67" s="147">
        <f t="shared" si="6"/>
        <v>-49266</v>
      </c>
      <c r="V67" s="143">
        <f t="shared" si="7"/>
        <v>129</v>
      </c>
      <c r="Y67" s="147"/>
    </row>
    <row r="68" spans="1:25" s="18" customFormat="1" ht="12.75">
      <c r="A68" s="161" t="s">
        <v>240</v>
      </c>
      <c r="B68" s="152">
        <v>42865</v>
      </c>
      <c r="C68" s="164" t="s">
        <v>241</v>
      </c>
      <c r="D68" s="165">
        <v>18.96</v>
      </c>
      <c r="E68" s="166"/>
      <c r="F68" s="169"/>
      <c r="K68" s="152">
        <v>42877</v>
      </c>
      <c r="L68" s="145"/>
      <c r="M68" s="152">
        <f t="shared" si="8"/>
        <v>42895</v>
      </c>
      <c r="N68" s="152">
        <v>42895</v>
      </c>
      <c r="O68" s="148">
        <f t="shared" si="9"/>
        <v>18</v>
      </c>
      <c r="P68" s="148">
        <f t="shared" si="10"/>
        <v>0</v>
      </c>
      <c r="Q68" s="148">
        <f t="shared" si="11"/>
        <v>18</v>
      </c>
      <c r="R68" s="148">
        <f t="shared" si="12"/>
        <v>-12</v>
      </c>
      <c r="S68" s="143">
        <v>22</v>
      </c>
      <c r="T68" s="147">
        <f t="shared" si="13"/>
        <v>0</v>
      </c>
      <c r="U68" s="147">
        <f t="shared" si="6"/>
        <v>-227.52</v>
      </c>
      <c r="V68" s="143">
        <f t="shared" si="7"/>
        <v>122</v>
      </c>
      <c r="Y68" s="147"/>
    </row>
    <row r="69" spans="1:25" s="18" customFormat="1" ht="12.75">
      <c r="A69" s="161" t="s">
        <v>242</v>
      </c>
      <c r="B69" s="152">
        <v>42859</v>
      </c>
      <c r="C69" s="162" t="s">
        <v>243</v>
      </c>
      <c r="D69" s="163">
        <v>689</v>
      </c>
      <c r="E69" s="166"/>
      <c r="F69" s="169"/>
      <c r="K69" s="152">
        <v>42877</v>
      </c>
      <c r="L69" s="145"/>
      <c r="M69" s="152">
        <f aca="true" t="shared" si="16" ref="M69:M131">+N69</f>
        <v>42886</v>
      </c>
      <c r="N69" s="152">
        <v>42886</v>
      </c>
      <c r="O69" s="148">
        <f t="shared" si="9"/>
        <v>9</v>
      </c>
      <c r="P69" s="148">
        <f t="shared" si="10"/>
        <v>0</v>
      </c>
      <c r="Q69" s="148">
        <f t="shared" si="11"/>
        <v>9</v>
      </c>
      <c r="R69" s="148">
        <f t="shared" si="12"/>
        <v>-21</v>
      </c>
      <c r="S69" s="143">
        <v>29</v>
      </c>
      <c r="T69" s="147">
        <f t="shared" si="13"/>
        <v>0</v>
      </c>
      <c r="U69" s="147">
        <f t="shared" si="6"/>
        <v>-14469</v>
      </c>
      <c r="V69" s="143">
        <f t="shared" si="7"/>
        <v>129</v>
      </c>
      <c r="Y69" s="147"/>
    </row>
    <row r="70" spans="1:25" s="18" customFormat="1" ht="12.75">
      <c r="A70" s="161" t="s">
        <v>244</v>
      </c>
      <c r="B70" s="152">
        <v>42855</v>
      </c>
      <c r="C70" s="164" t="s">
        <v>245</v>
      </c>
      <c r="D70" s="165">
        <v>117.9</v>
      </c>
      <c r="E70" s="166"/>
      <c r="F70" s="169"/>
      <c r="K70" s="152">
        <v>42877</v>
      </c>
      <c r="L70" s="145"/>
      <c r="M70" s="152">
        <f t="shared" si="16"/>
        <v>42885</v>
      </c>
      <c r="N70" s="152">
        <v>42885</v>
      </c>
      <c r="O70" s="148">
        <f aca="true" t="shared" si="17" ref="O70:O132">+M70-K70</f>
        <v>8</v>
      </c>
      <c r="P70" s="148">
        <f aca="true" t="shared" si="18" ref="P70:P132">+N70-M70</f>
        <v>0</v>
      </c>
      <c r="Q70" s="148">
        <f aca="true" t="shared" si="19" ref="Q70:Q132">+N70-K70</f>
        <v>8</v>
      </c>
      <c r="R70" s="148">
        <f aca="true" t="shared" si="20" ref="R70:R132">+Q70-30</f>
        <v>-22</v>
      </c>
      <c r="S70" s="143">
        <v>29</v>
      </c>
      <c r="T70" s="147">
        <f aca="true" t="shared" si="21" ref="T70:T132">+P70*D70</f>
        <v>0</v>
      </c>
      <c r="U70" s="147">
        <f t="shared" si="6"/>
        <v>-2593.8</v>
      </c>
      <c r="V70" s="143">
        <f t="shared" si="7"/>
        <v>129</v>
      </c>
      <c r="Y70" s="147"/>
    </row>
    <row r="71" spans="1:25" s="18" customFormat="1" ht="12.75">
      <c r="A71" s="161" t="s">
        <v>246</v>
      </c>
      <c r="B71" s="152">
        <v>42826</v>
      </c>
      <c r="C71" s="164" t="s">
        <v>247</v>
      </c>
      <c r="D71" s="165">
        <v>31.1</v>
      </c>
      <c r="E71" s="166"/>
      <c r="F71" s="169"/>
      <c r="K71" s="152">
        <f>M71</f>
        <v>42818</v>
      </c>
      <c r="L71" s="145"/>
      <c r="M71" s="152">
        <f t="shared" si="16"/>
        <v>42818</v>
      </c>
      <c r="N71" s="152">
        <v>42818</v>
      </c>
      <c r="O71" s="148">
        <f t="shared" si="17"/>
        <v>0</v>
      </c>
      <c r="P71" s="148">
        <f t="shared" si="18"/>
        <v>0</v>
      </c>
      <c r="Q71" s="148">
        <f t="shared" si="19"/>
        <v>0</v>
      </c>
      <c r="R71" s="148">
        <f t="shared" si="20"/>
        <v>-30</v>
      </c>
      <c r="S71" s="143">
        <v>29</v>
      </c>
      <c r="T71" s="147">
        <f t="shared" si="21"/>
        <v>0</v>
      </c>
      <c r="U71" s="147">
        <f aca="true" t="shared" si="22" ref="U71:U134">+R71*D71</f>
        <v>-933</v>
      </c>
      <c r="V71" s="143">
        <f aca="true" t="shared" si="23" ref="V71:V134">IF(P71&gt;30,200+S71,100+S71)</f>
        <v>129</v>
      </c>
      <c r="Y71" s="147"/>
    </row>
    <row r="72" spans="1:25" s="18" customFormat="1" ht="12.75">
      <c r="A72" s="161" t="s">
        <v>248</v>
      </c>
      <c r="B72" s="152">
        <v>42877</v>
      </c>
      <c r="C72" s="164" t="s">
        <v>249</v>
      </c>
      <c r="D72" s="165">
        <v>65</v>
      </c>
      <c r="E72" s="166"/>
      <c r="F72" s="169"/>
      <c r="K72" s="152">
        <f>M72</f>
        <v>42835</v>
      </c>
      <c r="L72" s="145"/>
      <c r="M72" s="152">
        <f t="shared" si="16"/>
        <v>42835</v>
      </c>
      <c r="N72" s="152">
        <v>42835</v>
      </c>
      <c r="O72" s="148">
        <f t="shared" si="17"/>
        <v>0</v>
      </c>
      <c r="P72" s="148">
        <f t="shared" si="18"/>
        <v>0</v>
      </c>
      <c r="Q72" s="148">
        <f t="shared" si="19"/>
        <v>0</v>
      </c>
      <c r="R72" s="148">
        <f t="shared" si="20"/>
        <v>-30</v>
      </c>
      <c r="S72" s="143">
        <v>29</v>
      </c>
      <c r="T72" s="147">
        <f t="shared" si="21"/>
        <v>0</v>
      </c>
      <c r="U72" s="147">
        <f t="shared" si="22"/>
        <v>-1950</v>
      </c>
      <c r="V72" s="143">
        <f t="shared" si="23"/>
        <v>129</v>
      </c>
      <c r="Y72" s="147"/>
    </row>
    <row r="73" spans="1:25" s="18" customFormat="1" ht="12.75">
      <c r="A73" s="161" t="s">
        <v>250</v>
      </c>
      <c r="B73" s="152">
        <v>42855</v>
      </c>
      <c r="C73" s="164" t="s">
        <v>251</v>
      </c>
      <c r="D73" s="165">
        <v>107.64</v>
      </c>
      <c r="E73" s="166"/>
      <c r="F73" s="169"/>
      <c r="K73" s="152">
        <v>42877</v>
      </c>
      <c r="L73" s="145"/>
      <c r="M73" s="152">
        <f t="shared" si="16"/>
        <v>42877</v>
      </c>
      <c r="N73" s="152">
        <v>42877</v>
      </c>
      <c r="O73" s="148">
        <f t="shared" si="17"/>
        <v>0</v>
      </c>
      <c r="P73" s="148">
        <f t="shared" si="18"/>
        <v>0</v>
      </c>
      <c r="Q73" s="148">
        <f t="shared" si="19"/>
        <v>0</v>
      </c>
      <c r="R73" s="148">
        <f t="shared" si="20"/>
        <v>-30</v>
      </c>
      <c r="S73" s="143">
        <v>22</v>
      </c>
      <c r="T73" s="147">
        <f t="shared" si="21"/>
        <v>0</v>
      </c>
      <c r="U73" s="147">
        <f t="shared" si="22"/>
        <v>-3229.2</v>
      </c>
      <c r="V73" s="143">
        <f t="shared" si="23"/>
        <v>122</v>
      </c>
      <c r="Y73" s="147"/>
    </row>
    <row r="74" spans="1:25" s="18" customFormat="1" ht="12.75">
      <c r="A74" s="161" t="s">
        <v>252</v>
      </c>
      <c r="B74" s="152">
        <v>42867</v>
      </c>
      <c r="C74" s="164" t="s">
        <v>253</v>
      </c>
      <c r="D74" s="165">
        <v>96</v>
      </c>
      <c r="E74" s="166"/>
      <c r="F74" s="169"/>
      <c r="K74" s="152">
        <v>42878</v>
      </c>
      <c r="L74" s="145"/>
      <c r="M74" s="152">
        <f t="shared" si="16"/>
        <v>42885</v>
      </c>
      <c r="N74" s="152">
        <v>42885</v>
      </c>
      <c r="O74" s="148">
        <f t="shared" si="17"/>
        <v>7</v>
      </c>
      <c r="P74" s="148">
        <f t="shared" si="18"/>
        <v>0</v>
      </c>
      <c r="Q74" s="148">
        <f t="shared" si="19"/>
        <v>7</v>
      </c>
      <c r="R74" s="148">
        <f t="shared" si="20"/>
        <v>-23</v>
      </c>
      <c r="S74" s="143">
        <v>29</v>
      </c>
      <c r="T74" s="147">
        <f t="shared" si="21"/>
        <v>0</v>
      </c>
      <c r="U74" s="147">
        <f t="shared" si="22"/>
        <v>-2208</v>
      </c>
      <c r="V74" s="143">
        <f t="shared" si="23"/>
        <v>129</v>
      </c>
      <c r="Y74" s="147"/>
    </row>
    <row r="75" spans="1:25" s="18" customFormat="1" ht="12.75">
      <c r="A75" s="161" t="s">
        <v>254</v>
      </c>
      <c r="B75" s="152">
        <v>42855</v>
      </c>
      <c r="C75" s="164" t="s">
        <v>255</v>
      </c>
      <c r="D75" s="165">
        <v>447.71</v>
      </c>
      <c r="E75" s="166"/>
      <c r="F75" s="169"/>
      <c r="K75" s="152">
        <f aca="true" t="shared" si="24" ref="K75:K82">M75</f>
        <v>42877</v>
      </c>
      <c r="L75" s="145"/>
      <c r="M75" s="152">
        <f t="shared" si="16"/>
        <v>42877</v>
      </c>
      <c r="N75" s="152">
        <v>42877</v>
      </c>
      <c r="O75" s="148">
        <f t="shared" si="17"/>
        <v>0</v>
      </c>
      <c r="P75" s="148">
        <f t="shared" si="18"/>
        <v>0</v>
      </c>
      <c r="Q75" s="148">
        <f t="shared" si="19"/>
        <v>0</v>
      </c>
      <c r="R75" s="148">
        <f t="shared" si="20"/>
        <v>-30</v>
      </c>
      <c r="S75" s="143">
        <v>20</v>
      </c>
      <c r="T75" s="147">
        <f t="shared" si="21"/>
        <v>0</v>
      </c>
      <c r="U75" s="147">
        <f t="shared" si="22"/>
        <v>-13431.3</v>
      </c>
      <c r="V75" s="143">
        <f t="shared" si="23"/>
        <v>120</v>
      </c>
      <c r="Y75" s="147"/>
    </row>
    <row r="76" spans="1:25" s="18" customFormat="1" ht="12.75">
      <c r="A76" s="161" t="s">
        <v>256</v>
      </c>
      <c r="B76" s="152">
        <v>42826</v>
      </c>
      <c r="C76" s="164" t="s">
        <v>257</v>
      </c>
      <c r="D76" s="165">
        <v>234.46</v>
      </c>
      <c r="E76" s="166"/>
      <c r="F76" s="169"/>
      <c r="K76" s="152">
        <f t="shared" si="24"/>
        <v>42828</v>
      </c>
      <c r="L76" s="145"/>
      <c r="M76" s="152">
        <f t="shared" si="16"/>
        <v>42828</v>
      </c>
      <c r="N76" s="152">
        <v>42828</v>
      </c>
      <c r="O76" s="148">
        <f t="shared" si="17"/>
        <v>0</v>
      </c>
      <c r="P76" s="148">
        <f t="shared" si="18"/>
        <v>0</v>
      </c>
      <c r="Q76" s="148">
        <f t="shared" si="19"/>
        <v>0</v>
      </c>
      <c r="R76" s="148">
        <f t="shared" si="20"/>
        <v>-30</v>
      </c>
      <c r="S76" s="143">
        <v>29</v>
      </c>
      <c r="T76" s="147">
        <f t="shared" si="21"/>
        <v>0</v>
      </c>
      <c r="U76" s="147">
        <f t="shared" si="22"/>
        <v>-7033.8</v>
      </c>
      <c r="V76" s="143">
        <f t="shared" si="23"/>
        <v>129</v>
      </c>
      <c r="Y76" s="147"/>
    </row>
    <row r="77" spans="1:25" s="18" customFormat="1" ht="12.75">
      <c r="A77" s="161" t="s">
        <v>258</v>
      </c>
      <c r="B77" s="152">
        <v>42844</v>
      </c>
      <c r="C77" s="164" t="s">
        <v>259</v>
      </c>
      <c r="D77" s="165">
        <v>58.4</v>
      </c>
      <c r="E77" s="166"/>
      <c r="F77" s="169"/>
      <c r="K77" s="152">
        <f t="shared" si="24"/>
        <v>42844</v>
      </c>
      <c r="L77" s="145"/>
      <c r="M77" s="152">
        <f t="shared" si="16"/>
        <v>42844</v>
      </c>
      <c r="N77" s="152">
        <v>42844</v>
      </c>
      <c r="O77" s="148">
        <f t="shared" si="17"/>
        <v>0</v>
      </c>
      <c r="P77" s="148">
        <f t="shared" si="18"/>
        <v>0</v>
      </c>
      <c r="Q77" s="148">
        <f t="shared" si="19"/>
        <v>0</v>
      </c>
      <c r="R77" s="148">
        <f t="shared" si="20"/>
        <v>-30</v>
      </c>
      <c r="S77" s="143">
        <v>29</v>
      </c>
      <c r="T77" s="147">
        <f t="shared" si="21"/>
        <v>0</v>
      </c>
      <c r="U77" s="147">
        <f t="shared" si="22"/>
        <v>-1752</v>
      </c>
      <c r="V77" s="143">
        <f t="shared" si="23"/>
        <v>129</v>
      </c>
      <c r="Y77" s="147"/>
    </row>
    <row r="78" spans="1:25" s="18" customFormat="1" ht="12.75">
      <c r="A78" s="161" t="s">
        <v>260</v>
      </c>
      <c r="B78" s="152">
        <v>42856</v>
      </c>
      <c r="C78" s="164" t="s">
        <v>261</v>
      </c>
      <c r="D78" s="165">
        <v>140.99</v>
      </c>
      <c r="E78" s="166"/>
      <c r="F78" s="169"/>
      <c r="K78" s="152">
        <f t="shared" si="24"/>
        <v>42857</v>
      </c>
      <c r="L78" s="145"/>
      <c r="M78" s="152">
        <f t="shared" si="16"/>
        <v>42857</v>
      </c>
      <c r="N78" s="152">
        <v>42857</v>
      </c>
      <c r="O78" s="148">
        <f t="shared" si="17"/>
        <v>0</v>
      </c>
      <c r="P78" s="148">
        <f t="shared" si="18"/>
        <v>0</v>
      </c>
      <c r="Q78" s="148">
        <f t="shared" si="19"/>
        <v>0</v>
      </c>
      <c r="R78" s="148">
        <f t="shared" si="20"/>
        <v>-30</v>
      </c>
      <c r="S78" s="143">
        <v>29</v>
      </c>
      <c r="T78" s="147">
        <f t="shared" si="21"/>
        <v>0</v>
      </c>
      <c r="U78" s="147">
        <f t="shared" si="22"/>
        <v>-4229.700000000001</v>
      </c>
      <c r="V78" s="143">
        <f t="shared" si="23"/>
        <v>129</v>
      </c>
      <c r="Y78" s="147"/>
    </row>
    <row r="79" spans="1:25" s="18" customFormat="1" ht="12.75">
      <c r="A79" s="161" t="s">
        <v>262</v>
      </c>
      <c r="B79" s="152">
        <v>42874</v>
      </c>
      <c r="C79" s="164" t="s">
        <v>263</v>
      </c>
      <c r="D79" s="165">
        <v>58.4</v>
      </c>
      <c r="E79" s="166"/>
      <c r="F79" s="169"/>
      <c r="K79" s="152">
        <f t="shared" si="24"/>
        <v>42874</v>
      </c>
      <c r="L79" s="145"/>
      <c r="M79" s="152">
        <f t="shared" si="16"/>
        <v>42874</v>
      </c>
      <c r="N79" s="152">
        <v>42874</v>
      </c>
      <c r="O79" s="148">
        <f t="shared" si="17"/>
        <v>0</v>
      </c>
      <c r="P79" s="148">
        <f t="shared" si="18"/>
        <v>0</v>
      </c>
      <c r="Q79" s="148">
        <f t="shared" si="19"/>
        <v>0</v>
      </c>
      <c r="R79" s="148">
        <f t="shared" si="20"/>
        <v>-30</v>
      </c>
      <c r="S79" s="143">
        <v>29</v>
      </c>
      <c r="T79" s="147">
        <f t="shared" si="21"/>
        <v>0</v>
      </c>
      <c r="U79" s="147">
        <f t="shared" si="22"/>
        <v>-1752</v>
      </c>
      <c r="V79" s="143">
        <f t="shared" si="23"/>
        <v>129</v>
      </c>
      <c r="Y79" s="147"/>
    </row>
    <row r="80" spans="1:25" s="18" customFormat="1" ht="12.75">
      <c r="A80" s="161" t="s">
        <v>264</v>
      </c>
      <c r="B80" s="152">
        <v>42842</v>
      </c>
      <c r="C80" s="164" t="s">
        <v>265</v>
      </c>
      <c r="D80" s="165">
        <v>374.99</v>
      </c>
      <c r="E80" s="166"/>
      <c r="F80" s="169"/>
      <c r="K80" s="152">
        <f t="shared" si="24"/>
        <v>42844</v>
      </c>
      <c r="L80" s="145"/>
      <c r="M80" s="152">
        <f t="shared" si="16"/>
        <v>42844</v>
      </c>
      <c r="N80" s="152">
        <v>42844</v>
      </c>
      <c r="O80" s="148">
        <f t="shared" si="17"/>
        <v>0</v>
      </c>
      <c r="P80" s="148">
        <f t="shared" si="18"/>
        <v>0</v>
      </c>
      <c r="Q80" s="148">
        <f t="shared" si="19"/>
        <v>0</v>
      </c>
      <c r="R80" s="148">
        <f t="shared" si="20"/>
        <v>-30</v>
      </c>
      <c r="S80" s="143">
        <v>29</v>
      </c>
      <c r="T80" s="147">
        <f t="shared" si="21"/>
        <v>0</v>
      </c>
      <c r="U80" s="147">
        <f t="shared" si="22"/>
        <v>-11249.7</v>
      </c>
      <c r="V80" s="143">
        <f t="shared" si="23"/>
        <v>129</v>
      </c>
      <c r="Y80" s="147"/>
    </row>
    <row r="81" spans="1:25" s="18" customFormat="1" ht="12.75">
      <c r="A81" s="161" t="s">
        <v>266</v>
      </c>
      <c r="B81" s="152">
        <v>42856</v>
      </c>
      <c r="C81" s="164" t="s">
        <v>267</v>
      </c>
      <c r="D81" s="165">
        <v>217.8</v>
      </c>
      <c r="E81" s="166"/>
      <c r="F81" s="169"/>
      <c r="K81" s="152">
        <f t="shared" si="24"/>
        <v>42860</v>
      </c>
      <c r="L81" s="145"/>
      <c r="M81" s="152">
        <f t="shared" si="16"/>
        <v>42860</v>
      </c>
      <c r="N81" s="152">
        <v>42860</v>
      </c>
      <c r="O81" s="148">
        <f t="shared" si="17"/>
        <v>0</v>
      </c>
      <c r="P81" s="148">
        <f t="shared" si="18"/>
        <v>0</v>
      </c>
      <c r="Q81" s="148">
        <f t="shared" si="19"/>
        <v>0</v>
      </c>
      <c r="R81" s="148">
        <f t="shared" si="20"/>
        <v>-30</v>
      </c>
      <c r="S81" s="143">
        <v>20</v>
      </c>
      <c r="T81" s="147">
        <f t="shared" si="21"/>
        <v>0</v>
      </c>
      <c r="U81" s="147">
        <f t="shared" si="22"/>
        <v>-6534</v>
      </c>
      <c r="V81" s="143">
        <f t="shared" si="23"/>
        <v>120</v>
      </c>
      <c r="Y81" s="147"/>
    </row>
    <row r="82" spans="1:25" s="18" customFormat="1" ht="12.75">
      <c r="A82" s="161" t="s">
        <v>268</v>
      </c>
      <c r="B82" s="152">
        <v>42856</v>
      </c>
      <c r="C82" s="164" t="s">
        <v>269</v>
      </c>
      <c r="D82" s="165">
        <v>28.6</v>
      </c>
      <c r="E82" s="166"/>
      <c r="F82" s="169"/>
      <c r="K82" s="152">
        <f t="shared" si="24"/>
        <v>42860</v>
      </c>
      <c r="L82" s="145"/>
      <c r="M82" s="152">
        <f t="shared" si="16"/>
        <v>42860</v>
      </c>
      <c r="N82" s="152">
        <v>42860</v>
      </c>
      <c r="O82" s="148">
        <f t="shared" si="17"/>
        <v>0</v>
      </c>
      <c r="P82" s="148">
        <f t="shared" si="18"/>
        <v>0</v>
      </c>
      <c r="Q82" s="148">
        <f t="shared" si="19"/>
        <v>0</v>
      </c>
      <c r="R82" s="148">
        <f t="shared" si="20"/>
        <v>-30</v>
      </c>
      <c r="S82" s="143">
        <v>20</v>
      </c>
      <c r="T82" s="147">
        <f t="shared" si="21"/>
        <v>0</v>
      </c>
      <c r="U82" s="147">
        <f t="shared" si="22"/>
        <v>-858</v>
      </c>
      <c r="V82" s="143">
        <f t="shared" si="23"/>
        <v>120</v>
      </c>
      <c r="Y82" s="147"/>
    </row>
    <row r="83" spans="1:25" s="18" customFormat="1" ht="12.75">
      <c r="A83" s="161" t="s">
        <v>270</v>
      </c>
      <c r="B83" s="152">
        <v>42879</v>
      </c>
      <c r="C83" s="164" t="s">
        <v>271</v>
      </c>
      <c r="D83" s="165">
        <v>480</v>
      </c>
      <c r="E83" s="166"/>
      <c r="F83" s="169"/>
      <c r="K83" s="152">
        <v>42881</v>
      </c>
      <c r="L83" s="145"/>
      <c r="M83" s="152">
        <f t="shared" si="16"/>
        <v>42886</v>
      </c>
      <c r="N83" s="152">
        <v>42886</v>
      </c>
      <c r="O83" s="148">
        <f t="shared" si="17"/>
        <v>5</v>
      </c>
      <c r="P83" s="148">
        <f t="shared" si="18"/>
        <v>0</v>
      </c>
      <c r="Q83" s="148">
        <f t="shared" si="19"/>
        <v>5</v>
      </c>
      <c r="R83" s="148">
        <f t="shared" si="20"/>
        <v>-25</v>
      </c>
      <c r="S83" s="143">
        <v>29</v>
      </c>
      <c r="T83" s="147">
        <f t="shared" si="21"/>
        <v>0</v>
      </c>
      <c r="U83" s="147">
        <f t="shared" si="22"/>
        <v>-12000</v>
      </c>
      <c r="V83" s="143">
        <f t="shared" si="23"/>
        <v>129</v>
      </c>
      <c r="Y83" s="147"/>
    </row>
    <row r="84" spans="1:25" s="18" customFormat="1" ht="12.75">
      <c r="A84" s="161" t="s">
        <v>272</v>
      </c>
      <c r="B84" s="152">
        <v>42877</v>
      </c>
      <c r="C84" s="162" t="s">
        <v>273</v>
      </c>
      <c r="D84" s="163">
        <v>548.55</v>
      </c>
      <c r="E84" s="166"/>
      <c r="F84" s="169"/>
      <c r="K84" s="152">
        <v>42881</v>
      </c>
      <c r="L84" s="145"/>
      <c r="M84" s="152">
        <f t="shared" si="16"/>
        <v>42902</v>
      </c>
      <c r="N84" s="152">
        <v>42902</v>
      </c>
      <c r="O84" s="148">
        <f t="shared" si="17"/>
        <v>21</v>
      </c>
      <c r="P84" s="148">
        <f t="shared" si="18"/>
        <v>0</v>
      </c>
      <c r="Q84" s="148">
        <f t="shared" si="19"/>
        <v>21</v>
      </c>
      <c r="R84" s="148">
        <f t="shared" si="20"/>
        <v>-9</v>
      </c>
      <c r="S84" s="143">
        <v>29</v>
      </c>
      <c r="T84" s="147">
        <f t="shared" si="21"/>
        <v>0</v>
      </c>
      <c r="U84" s="147">
        <f t="shared" si="22"/>
        <v>-4936.95</v>
      </c>
      <c r="V84" s="143">
        <f t="shared" si="23"/>
        <v>129</v>
      </c>
      <c r="Y84" s="147"/>
    </row>
    <row r="85" spans="1:25" s="18" customFormat="1" ht="12.75">
      <c r="A85" s="161" t="s">
        <v>274</v>
      </c>
      <c r="B85" s="152">
        <v>42855</v>
      </c>
      <c r="C85" s="164" t="s">
        <v>275</v>
      </c>
      <c r="D85" s="165">
        <v>21.39</v>
      </c>
      <c r="E85" s="166"/>
      <c r="F85" s="169"/>
      <c r="K85" s="152">
        <v>42884</v>
      </c>
      <c r="L85" s="145"/>
      <c r="M85" s="152">
        <f t="shared" si="16"/>
        <v>42887</v>
      </c>
      <c r="N85" s="152">
        <v>42887</v>
      </c>
      <c r="O85" s="148">
        <f t="shared" si="17"/>
        <v>3</v>
      </c>
      <c r="P85" s="148">
        <f t="shared" si="18"/>
        <v>0</v>
      </c>
      <c r="Q85" s="148">
        <f t="shared" si="19"/>
        <v>3</v>
      </c>
      <c r="R85" s="148">
        <f t="shared" si="20"/>
        <v>-27</v>
      </c>
      <c r="S85" s="143">
        <v>29</v>
      </c>
      <c r="T85" s="147">
        <f t="shared" si="21"/>
        <v>0</v>
      </c>
      <c r="U85" s="147">
        <f t="shared" si="22"/>
        <v>-577.53</v>
      </c>
      <c r="V85" s="143">
        <f t="shared" si="23"/>
        <v>129</v>
      </c>
      <c r="Y85" s="147"/>
    </row>
    <row r="86" spans="1:25" s="18" customFormat="1" ht="12.75">
      <c r="A86" s="161" t="s">
        <v>276</v>
      </c>
      <c r="B86" s="152">
        <v>42870</v>
      </c>
      <c r="C86" s="164" t="s">
        <v>277</v>
      </c>
      <c r="D86" s="165">
        <v>540.46</v>
      </c>
      <c r="E86" s="166"/>
      <c r="F86" s="169"/>
      <c r="K86" s="152">
        <f>M86</f>
        <v>42872</v>
      </c>
      <c r="L86" s="145"/>
      <c r="M86" s="152">
        <f t="shared" si="16"/>
        <v>42872</v>
      </c>
      <c r="N86" s="152">
        <v>42872</v>
      </c>
      <c r="O86" s="148">
        <f t="shared" si="17"/>
        <v>0</v>
      </c>
      <c r="P86" s="148">
        <f t="shared" si="18"/>
        <v>0</v>
      </c>
      <c r="Q86" s="148">
        <f t="shared" si="19"/>
        <v>0</v>
      </c>
      <c r="R86" s="148">
        <f t="shared" si="20"/>
        <v>-30</v>
      </c>
      <c r="S86" s="143">
        <v>29</v>
      </c>
      <c r="T86" s="147">
        <f t="shared" si="21"/>
        <v>0</v>
      </c>
      <c r="U86" s="147">
        <f t="shared" si="22"/>
        <v>-16213.800000000001</v>
      </c>
      <c r="V86" s="143">
        <f t="shared" si="23"/>
        <v>129</v>
      </c>
      <c r="Y86" s="147"/>
    </row>
    <row r="87" spans="1:25" s="18" customFormat="1" ht="12.75">
      <c r="A87" s="161" t="s">
        <v>278</v>
      </c>
      <c r="B87" s="152">
        <v>42874</v>
      </c>
      <c r="C87" s="164" t="s">
        <v>279</v>
      </c>
      <c r="D87" s="165">
        <v>230.66</v>
      </c>
      <c r="E87" s="166"/>
      <c r="F87" s="169"/>
      <c r="K87" s="152">
        <v>42884</v>
      </c>
      <c r="L87" s="145"/>
      <c r="M87" s="152">
        <f t="shared" si="16"/>
        <v>42886</v>
      </c>
      <c r="N87" s="152">
        <v>42886</v>
      </c>
      <c r="O87" s="148">
        <f t="shared" si="17"/>
        <v>2</v>
      </c>
      <c r="P87" s="148">
        <f t="shared" si="18"/>
        <v>0</v>
      </c>
      <c r="Q87" s="148">
        <f t="shared" si="19"/>
        <v>2</v>
      </c>
      <c r="R87" s="148">
        <f t="shared" si="20"/>
        <v>-28</v>
      </c>
      <c r="S87" s="143">
        <v>29</v>
      </c>
      <c r="T87" s="147">
        <f t="shared" si="21"/>
        <v>0</v>
      </c>
      <c r="U87" s="147">
        <f t="shared" si="22"/>
        <v>-6458.48</v>
      </c>
      <c r="V87" s="143">
        <f t="shared" si="23"/>
        <v>129</v>
      </c>
      <c r="Y87" s="147"/>
    </row>
    <row r="88" spans="1:25" s="18" customFormat="1" ht="12.75">
      <c r="A88" s="161" t="s">
        <v>280</v>
      </c>
      <c r="B88" s="152">
        <v>42872</v>
      </c>
      <c r="C88" s="164" t="s">
        <v>281</v>
      </c>
      <c r="D88" s="165">
        <v>191.24</v>
      </c>
      <c r="E88" s="166"/>
      <c r="F88" s="169"/>
      <c r="K88" s="152">
        <v>42884</v>
      </c>
      <c r="L88" s="145"/>
      <c r="M88" s="152">
        <f t="shared" si="16"/>
        <v>42905</v>
      </c>
      <c r="N88" s="152">
        <v>42905</v>
      </c>
      <c r="O88" s="148">
        <f t="shared" si="17"/>
        <v>21</v>
      </c>
      <c r="P88" s="148">
        <f t="shared" si="18"/>
        <v>0</v>
      </c>
      <c r="Q88" s="148">
        <f t="shared" si="19"/>
        <v>21</v>
      </c>
      <c r="R88" s="148">
        <f t="shared" si="20"/>
        <v>-9</v>
      </c>
      <c r="S88" s="143">
        <v>21</v>
      </c>
      <c r="T88" s="147">
        <f t="shared" si="21"/>
        <v>0</v>
      </c>
      <c r="U88" s="147">
        <f t="shared" si="22"/>
        <v>-1721.16</v>
      </c>
      <c r="V88" s="143">
        <f t="shared" si="23"/>
        <v>121</v>
      </c>
      <c r="Y88" s="147"/>
    </row>
    <row r="89" spans="1:25" s="18" customFormat="1" ht="12.75">
      <c r="A89" s="161" t="s">
        <v>282</v>
      </c>
      <c r="B89" s="152">
        <v>42866</v>
      </c>
      <c r="C89" s="164" t="s">
        <v>283</v>
      </c>
      <c r="D89" s="165">
        <v>3.09</v>
      </c>
      <c r="E89" s="166"/>
      <c r="F89" s="169"/>
      <c r="K89" s="152">
        <v>42884</v>
      </c>
      <c r="L89" s="145"/>
      <c r="M89" s="152">
        <f t="shared" si="16"/>
        <v>42902</v>
      </c>
      <c r="N89" s="152">
        <v>42902</v>
      </c>
      <c r="O89" s="148">
        <f t="shared" si="17"/>
        <v>18</v>
      </c>
      <c r="P89" s="148">
        <f t="shared" si="18"/>
        <v>0</v>
      </c>
      <c r="Q89" s="148">
        <f t="shared" si="19"/>
        <v>18</v>
      </c>
      <c r="R89" s="148">
        <f t="shared" si="20"/>
        <v>-12</v>
      </c>
      <c r="S89" s="143">
        <v>22</v>
      </c>
      <c r="T89" s="147">
        <f t="shared" si="21"/>
        <v>0</v>
      </c>
      <c r="U89" s="147">
        <f t="shared" si="22"/>
        <v>-37.08</v>
      </c>
      <c r="V89" s="143">
        <f t="shared" si="23"/>
        <v>122</v>
      </c>
      <c r="Y89" s="147"/>
    </row>
    <row r="90" spans="1:25" s="18" customFormat="1" ht="12.75">
      <c r="A90" s="161" t="s">
        <v>284</v>
      </c>
      <c r="B90" s="152">
        <v>42881</v>
      </c>
      <c r="C90" s="164" t="s">
        <v>285</v>
      </c>
      <c r="D90" s="165">
        <v>676.54</v>
      </c>
      <c r="E90" s="166"/>
      <c r="F90" s="169"/>
      <c r="K90" s="152">
        <v>42884</v>
      </c>
      <c r="L90" s="145"/>
      <c r="M90" s="152">
        <f t="shared" si="16"/>
        <v>42885</v>
      </c>
      <c r="N90" s="152">
        <v>42885</v>
      </c>
      <c r="O90" s="148">
        <f t="shared" si="17"/>
        <v>1</v>
      </c>
      <c r="P90" s="148">
        <f t="shared" si="18"/>
        <v>0</v>
      </c>
      <c r="Q90" s="148">
        <f t="shared" si="19"/>
        <v>1</v>
      </c>
      <c r="R90" s="148">
        <f t="shared" si="20"/>
        <v>-29</v>
      </c>
      <c r="S90" s="143">
        <v>29</v>
      </c>
      <c r="T90" s="147">
        <f t="shared" si="21"/>
        <v>0</v>
      </c>
      <c r="U90" s="147">
        <f t="shared" si="22"/>
        <v>-19619.66</v>
      </c>
      <c r="V90" s="143">
        <f t="shared" si="23"/>
        <v>129</v>
      </c>
      <c r="Y90" s="147"/>
    </row>
    <row r="91" spans="1:25" s="18" customFormat="1" ht="12.75">
      <c r="A91" s="161" t="s">
        <v>286</v>
      </c>
      <c r="B91" s="152">
        <v>42881</v>
      </c>
      <c r="C91" s="164" t="s">
        <v>287</v>
      </c>
      <c r="D91" s="165">
        <v>487.59</v>
      </c>
      <c r="E91" s="166"/>
      <c r="F91" s="169"/>
      <c r="K91" s="152">
        <v>42884</v>
      </c>
      <c r="L91" s="145"/>
      <c r="M91" s="152">
        <f t="shared" si="16"/>
        <v>42885</v>
      </c>
      <c r="N91" s="152">
        <v>42885</v>
      </c>
      <c r="O91" s="148">
        <f t="shared" si="17"/>
        <v>1</v>
      </c>
      <c r="P91" s="148">
        <f t="shared" si="18"/>
        <v>0</v>
      </c>
      <c r="Q91" s="148">
        <f t="shared" si="19"/>
        <v>1</v>
      </c>
      <c r="R91" s="148">
        <f t="shared" si="20"/>
        <v>-29</v>
      </c>
      <c r="S91" s="143">
        <v>29</v>
      </c>
      <c r="T91" s="147">
        <f t="shared" si="21"/>
        <v>0</v>
      </c>
      <c r="U91" s="147">
        <f t="shared" si="22"/>
        <v>-14140.109999999999</v>
      </c>
      <c r="V91" s="143">
        <f t="shared" si="23"/>
        <v>129</v>
      </c>
      <c r="Y91" s="147"/>
    </row>
    <row r="92" spans="1:25" s="18" customFormat="1" ht="12.75">
      <c r="A92" s="161" t="s">
        <v>288</v>
      </c>
      <c r="B92" s="152">
        <v>42870</v>
      </c>
      <c r="C92" s="164" t="s">
        <v>289</v>
      </c>
      <c r="D92" s="165">
        <v>363.48</v>
      </c>
      <c r="E92" s="166"/>
      <c r="F92" s="169"/>
      <c r="K92" s="152">
        <f>M92</f>
        <v>42872</v>
      </c>
      <c r="L92" s="145"/>
      <c r="M92" s="152">
        <f t="shared" si="16"/>
        <v>42872</v>
      </c>
      <c r="N92" s="152">
        <v>42872</v>
      </c>
      <c r="O92" s="148">
        <f t="shared" si="17"/>
        <v>0</v>
      </c>
      <c r="P92" s="148">
        <f t="shared" si="18"/>
        <v>0</v>
      </c>
      <c r="Q92" s="148">
        <f t="shared" si="19"/>
        <v>0</v>
      </c>
      <c r="R92" s="148">
        <f t="shared" si="20"/>
        <v>-30</v>
      </c>
      <c r="S92" s="143">
        <v>29</v>
      </c>
      <c r="T92" s="147">
        <f t="shared" si="21"/>
        <v>0</v>
      </c>
      <c r="U92" s="147">
        <f t="shared" si="22"/>
        <v>-10904.400000000001</v>
      </c>
      <c r="V92" s="143">
        <f t="shared" si="23"/>
        <v>129</v>
      </c>
      <c r="Y92" s="147"/>
    </row>
    <row r="93" spans="1:25" s="18" customFormat="1" ht="12.75">
      <c r="A93" s="161" t="s">
        <v>290</v>
      </c>
      <c r="B93" s="152">
        <v>42870</v>
      </c>
      <c r="C93" s="164" t="s">
        <v>291</v>
      </c>
      <c r="D93" s="165">
        <v>687.98</v>
      </c>
      <c r="E93" s="166"/>
      <c r="F93" s="169"/>
      <c r="K93" s="152">
        <f aca="true" t="shared" si="25" ref="K93:K103">M93</f>
        <v>42872</v>
      </c>
      <c r="L93" s="145"/>
      <c r="M93" s="152">
        <f t="shared" si="16"/>
        <v>42872</v>
      </c>
      <c r="N93" s="152">
        <v>42872</v>
      </c>
      <c r="O93" s="148">
        <f t="shared" si="17"/>
        <v>0</v>
      </c>
      <c r="P93" s="148">
        <f t="shared" si="18"/>
        <v>0</v>
      </c>
      <c r="Q93" s="148">
        <f t="shared" si="19"/>
        <v>0</v>
      </c>
      <c r="R93" s="148">
        <f t="shared" si="20"/>
        <v>-30</v>
      </c>
      <c r="S93" s="143">
        <v>29</v>
      </c>
      <c r="T93" s="147">
        <f t="shared" si="21"/>
        <v>0</v>
      </c>
      <c r="U93" s="147">
        <f t="shared" si="22"/>
        <v>-20639.4</v>
      </c>
      <c r="V93" s="143">
        <f t="shared" si="23"/>
        <v>129</v>
      </c>
      <c r="Y93" s="147"/>
    </row>
    <row r="94" spans="1:25" s="18" customFormat="1" ht="12.75">
      <c r="A94" s="161" t="s">
        <v>292</v>
      </c>
      <c r="B94" s="152">
        <v>42848</v>
      </c>
      <c r="C94" s="164" t="s">
        <v>293</v>
      </c>
      <c r="D94" s="165">
        <v>300.62</v>
      </c>
      <c r="E94" s="166"/>
      <c r="F94" s="169"/>
      <c r="K94" s="152">
        <f t="shared" si="25"/>
        <v>42852</v>
      </c>
      <c r="L94" s="145"/>
      <c r="M94" s="152">
        <f t="shared" si="16"/>
        <v>42852</v>
      </c>
      <c r="N94" s="152">
        <v>42852</v>
      </c>
      <c r="O94" s="148">
        <f t="shared" si="17"/>
        <v>0</v>
      </c>
      <c r="P94" s="148">
        <f t="shared" si="18"/>
        <v>0</v>
      </c>
      <c r="Q94" s="148">
        <f t="shared" si="19"/>
        <v>0</v>
      </c>
      <c r="R94" s="148">
        <f t="shared" si="20"/>
        <v>-30</v>
      </c>
      <c r="S94" s="143">
        <v>29</v>
      </c>
      <c r="T94" s="147">
        <f t="shared" si="21"/>
        <v>0</v>
      </c>
      <c r="U94" s="147">
        <f t="shared" si="22"/>
        <v>-9018.6</v>
      </c>
      <c r="V94" s="143">
        <f t="shared" si="23"/>
        <v>129</v>
      </c>
      <c r="Y94" s="147"/>
    </row>
    <row r="95" spans="1:25" s="18" customFormat="1" ht="12.75">
      <c r="A95" s="161" t="s">
        <v>294</v>
      </c>
      <c r="B95" s="152">
        <v>42848</v>
      </c>
      <c r="C95" s="164" t="s">
        <v>295</v>
      </c>
      <c r="D95" s="165">
        <v>75.07</v>
      </c>
      <c r="E95" s="166"/>
      <c r="F95" s="169"/>
      <c r="K95" s="152">
        <f t="shared" si="25"/>
        <v>42852</v>
      </c>
      <c r="L95" s="145"/>
      <c r="M95" s="152">
        <f t="shared" si="16"/>
        <v>42852</v>
      </c>
      <c r="N95" s="152">
        <v>42852</v>
      </c>
      <c r="O95" s="148">
        <f t="shared" si="17"/>
        <v>0</v>
      </c>
      <c r="P95" s="148">
        <f t="shared" si="18"/>
        <v>0</v>
      </c>
      <c r="Q95" s="148">
        <f t="shared" si="19"/>
        <v>0</v>
      </c>
      <c r="R95" s="148">
        <f t="shared" si="20"/>
        <v>-30</v>
      </c>
      <c r="S95" s="143">
        <v>29</v>
      </c>
      <c r="T95" s="147">
        <f t="shared" si="21"/>
        <v>0</v>
      </c>
      <c r="U95" s="147">
        <f t="shared" si="22"/>
        <v>-2252.1</v>
      </c>
      <c r="V95" s="143">
        <f t="shared" si="23"/>
        <v>129</v>
      </c>
      <c r="Y95" s="147"/>
    </row>
    <row r="96" spans="1:25" s="18" customFormat="1" ht="12.75">
      <c r="A96" s="161" t="s">
        <v>296</v>
      </c>
      <c r="B96" s="152">
        <v>42848</v>
      </c>
      <c r="C96" s="164" t="s">
        <v>297</v>
      </c>
      <c r="D96" s="165">
        <v>72.65</v>
      </c>
      <c r="E96" s="166"/>
      <c r="F96" s="169"/>
      <c r="K96" s="152">
        <f t="shared" si="25"/>
        <v>42852</v>
      </c>
      <c r="L96" s="145"/>
      <c r="M96" s="152">
        <f t="shared" si="16"/>
        <v>42852</v>
      </c>
      <c r="N96" s="152">
        <v>42852</v>
      </c>
      <c r="O96" s="148">
        <f t="shared" si="17"/>
        <v>0</v>
      </c>
      <c r="P96" s="148">
        <f t="shared" si="18"/>
        <v>0</v>
      </c>
      <c r="Q96" s="148">
        <f t="shared" si="19"/>
        <v>0</v>
      </c>
      <c r="R96" s="148">
        <f t="shared" si="20"/>
        <v>-30</v>
      </c>
      <c r="S96" s="143">
        <v>29</v>
      </c>
      <c r="T96" s="147">
        <f t="shared" si="21"/>
        <v>0</v>
      </c>
      <c r="U96" s="147">
        <f t="shared" si="22"/>
        <v>-2179.5</v>
      </c>
      <c r="V96" s="143">
        <f t="shared" si="23"/>
        <v>129</v>
      </c>
      <c r="Y96" s="147"/>
    </row>
    <row r="97" spans="1:25" s="18" customFormat="1" ht="12.75">
      <c r="A97" s="161" t="s">
        <v>298</v>
      </c>
      <c r="B97" s="152">
        <v>42848</v>
      </c>
      <c r="C97" s="164" t="s">
        <v>299</v>
      </c>
      <c r="D97" s="165">
        <v>1070.56</v>
      </c>
      <c r="E97" s="166"/>
      <c r="F97" s="169"/>
      <c r="K97" s="152">
        <f t="shared" si="25"/>
        <v>42852</v>
      </c>
      <c r="L97" s="145"/>
      <c r="M97" s="152">
        <f t="shared" si="16"/>
        <v>42852</v>
      </c>
      <c r="N97" s="152">
        <v>42852</v>
      </c>
      <c r="O97" s="148">
        <f t="shared" si="17"/>
        <v>0</v>
      </c>
      <c r="P97" s="148">
        <f t="shared" si="18"/>
        <v>0</v>
      </c>
      <c r="Q97" s="148">
        <f t="shared" si="19"/>
        <v>0</v>
      </c>
      <c r="R97" s="148">
        <f t="shared" si="20"/>
        <v>-30</v>
      </c>
      <c r="S97" s="143">
        <v>29</v>
      </c>
      <c r="T97" s="147">
        <f t="shared" si="21"/>
        <v>0</v>
      </c>
      <c r="U97" s="147">
        <f t="shared" si="22"/>
        <v>-32116.8</v>
      </c>
      <c r="V97" s="143">
        <f t="shared" si="23"/>
        <v>129</v>
      </c>
      <c r="Y97" s="147"/>
    </row>
    <row r="98" spans="1:25" s="18" customFormat="1" ht="12.75">
      <c r="A98" s="161" t="s">
        <v>300</v>
      </c>
      <c r="B98" s="152">
        <v>42848</v>
      </c>
      <c r="C98" s="164" t="s">
        <v>301</v>
      </c>
      <c r="D98" s="165">
        <v>537.73</v>
      </c>
      <c r="E98" s="166"/>
      <c r="F98" s="169"/>
      <c r="K98" s="152">
        <f t="shared" si="25"/>
        <v>42852</v>
      </c>
      <c r="L98" s="145"/>
      <c r="M98" s="152">
        <f t="shared" si="16"/>
        <v>42852</v>
      </c>
      <c r="N98" s="152">
        <v>42852</v>
      </c>
      <c r="O98" s="148">
        <f t="shared" si="17"/>
        <v>0</v>
      </c>
      <c r="P98" s="148">
        <f t="shared" si="18"/>
        <v>0</v>
      </c>
      <c r="Q98" s="148">
        <f t="shared" si="19"/>
        <v>0</v>
      </c>
      <c r="R98" s="148">
        <f t="shared" si="20"/>
        <v>-30</v>
      </c>
      <c r="S98" s="143">
        <v>29</v>
      </c>
      <c r="T98" s="147">
        <f t="shared" si="21"/>
        <v>0</v>
      </c>
      <c r="U98" s="147">
        <f t="shared" si="22"/>
        <v>-16131.900000000001</v>
      </c>
      <c r="V98" s="143">
        <f t="shared" si="23"/>
        <v>129</v>
      </c>
      <c r="Y98" s="147"/>
    </row>
    <row r="99" spans="1:25" s="18" customFormat="1" ht="12.75">
      <c r="A99" s="161" t="s">
        <v>302</v>
      </c>
      <c r="B99" s="152">
        <v>42878</v>
      </c>
      <c r="C99" s="164" t="s">
        <v>303</v>
      </c>
      <c r="D99" s="165">
        <v>75.07</v>
      </c>
      <c r="E99" s="166"/>
      <c r="F99" s="169"/>
      <c r="K99" s="152">
        <f t="shared" si="25"/>
        <v>42884</v>
      </c>
      <c r="L99" s="145"/>
      <c r="M99" s="152">
        <f t="shared" si="16"/>
        <v>42884</v>
      </c>
      <c r="N99" s="152">
        <v>42884</v>
      </c>
      <c r="O99" s="148">
        <f t="shared" si="17"/>
        <v>0</v>
      </c>
      <c r="P99" s="148">
        <f t="shared" si="18"/>
        <v>0</v>
      </c>
      <c r="Q99" s="148">
        <f t="shared" si="19"/>
        <v>0</v>
      </c>
      <c r="R99" s="148">
        <f t="shared" si="20"/>
        <v>-30</v>
      </c>
      <c r="S99" s="143">
        <v>29</v>
      </c>
      <c r="T99" s="147">
        <f t="shared" si="21"/>
        <v>0</v>
      </c>
      <c r="U99" s="147">
        <f t="shared" si="22"/>
        <v>-2252.1</v>
      </c>
      <c r="V99" s="143">
        <f t="shared" si="23"/>
        <v>129</v>
      </c>
      <c r="Y99" s="147"/>
    </row>
    <row r="100" spans="1:25" s="18" customFormat="1" ht="12.75">
      <c r="A100" s="161" t="s">
        <v>304</v>
      </c>
      <c r="B100" s="152">
        <v>42878</v>
      </c>
      <c r="C100" s="164" t="s">
        <v>305</v>
      </c>
      <c r="D100" s="165">
        <v>72.65</v>
      </c>
      <c r="E100" s="166"/>
      <c r="F100" s="169"/>
      <c r="K100" s="152">
        <f t="shared" si="25"/>
        <v>42884</v>
      </c>
      <c r="L100" s="145"/>
      <c r="M100" s="152">
        <f t="shared" si="16"/>
        <v>42884</v>
      </c>
      <c r="N100" s="152">
        <v>42884</v>
      </c>
      <c r="O100" s="148">
        <f t="shared" si="17"/>
        <v>0</v>
      </c>
      <c r="P100" s="148">
        <f t="shared" si="18"/>
        <v>0</v>
      </c>
      <c r="Q100" s="148">
        <f t="shared" si="19"/>
        <v>0</v>
      </c>
      <c r="R100" s="148">
        <f t="shared" si="20"/>
        <v>-30</v>
      </c>
      <c r="S100" s="143">
        <v>29</v>
      </c>
      <c r="T100" s="147">
        <f t="shared" si="21"/>
        <v>0</v>
      </c>
      <c r="U100" s="147">
        <f t="shared" si="22"/>
        <v>-2179.5</v>
      </c>
      <c r="V100" s="143">
        <f t="shared" si="23"/>
        <v>129</v>
      </c>
      <c r="Y100" s="147"/>
    </row>
    <row r="101" spans="1:25" s="18" customFormat="1" ht="12.75">
      <c r="A101" s="161" t="s">
        <v>306</v>
      </c>
      <c r="B101" s="152">
        <v>42878</v>
      </c>
      <c r="C101" s="164" t="s">
        <v>307</v>
      </c>
      <c r="D101" s="165">
        <v>1070.78</v>
      </c>
      <c r="E101" s="166"/>
      <c r="F101" s="169"/>
      <c r="K101" s="152">
        <f t="shared" si="25"/>
        <v>42884</v>
      </c>
      <c r="L101" s="145"/>
      <c r="M101" s="152">
        <f t="shared" si="16"/>
        <v>42884</v>
      </c>
      <c r="N101" s="152">
        <v>42884</v>
      </c>
      <c r="O101" s="148">
        <f t="shared" si="17"/>
        <v>0</v>
      </c>
      <c r="P101" s="148">
        <f t="shared" si="18"/>
        <v>0</v>
      </c>
      <c r="Q101" s="148">
        <f t="shared" si="19"/>
        <v>0</v>
      </c>
      <c r="R101" s="148">
        <f t="shared" si="20"/>
        <v>-30</v>
      </c>
      <c r="S101" s="143">
        <v>29</v>
      </c>
      <c r="T101" s="147">
        <f t="shared" si="21"/>
        <v>0</v>
      </c>
      <c r="U101" s="147">
        <f t="shared" si="22"/>
        <v>-32123.399999999998</v>
      </c>
      <c r="V101" s="143">
        <f t="shared" si="23"/>
        <v>129</v>
      </c>
      <c r="Y101" s="147"/>
    </row>
    <row r="102" spans="1:25" s="18" customFormat="1" ht="12.75">
      <c r="A102" s="161" t="s">
        <v>308</v>
      </c>
      <c r="B102" s="152">
        <v>42878</v>
      </c>
      <c r="C102" s="164" t="s">
        <v>309</v>
      </c>
      <c r="D102" s="165">
        <v>536.59</v>
      </c>
      <c r="E102" s="166"/>
      <c r="F102" s="169"/>
      <c r="K102" s="152">
        <f t="shared" si="25"/>
        <v>42884</v>
      </c>
      <c r="L102" s="145"/>
      <c r="M102" s="152">
        <f t="shared" si="16"/>
        <v>42884</v>
      </c>
      <c r="N102" s="152">
        <v>42884</v>
      </c>
      <c r="O102" s="148">
        <f t="shared" si="17"/>
        <v>0</v>
      </c>
      <c r="P102" s="148">
        <f t="shared" si="18"/>
        <v>0</v>
      </c>
      <c r="Q102" s="148">
        <f t="shared" si="19"/>
        <v>0</v>
      </c>
      <c r="R102" s="148">
        <f t="shared" si="20"/>
        <v>-30</v>
      </c>
      <c r="S102" s="143">
        <v>29</v>
      </c>
      <c r="T102" s="147">
        <f t="shared" si="21"/>
        <v>0</v>
      </c>
      <c r="U102" s="147">
        <f t="shared" si="22"/>
        <v>-16097.7</v>
      </c>
      <c r="V102" s="143">
        <f t="shared" si="23"/>
        <v>129</v>
      </c>
      <c r="Y102" s="147"/>
    </row>
    <row r="103" spans="1:25" s="18" customFormat="1" ht="12.75">
      <c r="A103" s="161" t="s">
        <v>310</v>
      </c>
      <c r="B103" s="152">
        <v>42878</v>
      </c>
      <c r="C103" s="164" t="s">
        <v>311</v>
      </c>
      <c r="D103" s="165">
        <v>300.62</v>
      </c>
      <c r="E103" s="166"/>
      <c r="F103" s="169"/>
      <c r="K103" s="152">
        <f t="shared" si="25"/>
        <v>42884</v>
      </c>
      <c r="L103" s="145"/>
      <c r="M103" s="152">
        <f t="shared" si="16"/>
        <v>42884</v>
      </c>
      <c r="N103" s="152">
        <v>42884</v>
      </c>
      <c r="O103" s="148">
        <f t="shared" si="17"/>
        <v>0</v>
      </c>
      <c r="P103" s="148">
        <f t="shared" si="18"/>
        <v>0</v>
      </c>
      <c r="Q103" s="148">
        <f t="shared" si="19"/>
        <v>0</v>
      </c>
      <c r="R103" s="148">
        <f t="shared" si="20"/>
        <v>-30</v>
      </c>
      <c r="S103" s="143">
        <v>29</v>
      </c>
      <c r="T103" s="147">
        <f t="shared" si="21"/>
        <v>0</v>
      </c>
      <c r="U103" s="147">
        <f t="shared" si="22"/>
        <v>-9018.6</v>
      </c>
      <c r="V103" s="143">
        <f t="shared" si="23"/>
        <v>129</v>
      </c>
      <c r="Y103" s="147"/>
    </row>
    <row r="104" spans="1:25" s="18" customFormat="1" ht="12.75">
      <c r="A104" s="161" t="s">
        <v>312</v>
      </c>
      <c r="B104" s="152">
        <v>42884</v>
      </c>
      <c r="C104" s="164" t="s">
        <v>313</v>
      </c>
      <c r="D104" s="165">
        <v>223.85</v>
      </c>
      <c r="E104" s="166"/>
      <c r="F104" s="169"/>
      <c r="K104" s="152">
        <v>42886</v>
      </c>
      <c r="L104" s="145"/>
      <c r="M104" s="152">
        <f t="shared" si="16"/>
        <v>42902</v>
      </c>
      <c r="N104" s="152">
        <v>42902</v>
      </c>
      <c r="O104" s="148">
        <f t="shared" si="17"/>
        <v>16</v>
      </c>
      <c r="P104" s="148">
        <f t="shared" si="18"/>
        <v>0</v>
      </c>
      <c r="Q104" s="148">
        <f t="shared" si="19"/>
        <v>16</v>
      </c>
      <c r="R104" s="148">
        <f t="shared" si="20"/>
        <v>-14</v>
      </c>
      <c r="S104" s="143">
        <v>29</v>
      </c>
      <c r="T104" s="147">
        <f t="shared" si="21"/>
        <v>0</v>
      </c>
      <c r="U104" s="147">
        <f t="shared" si="22"/>
        <v>-3133.9</v>
      </c>
      <c r="V104" s="143">
        <f t="shared" si="23"/>
        <v>129</v>
      </c>
      <c r="Y104" s="147"/>
    </row>
    <row r="105" spans="1:25" s="18" customFormat="1" ht="12.75">
      <c r="A105" s="161" t="s">
        <v>314</v>
      </c>
      <c r="B105" s="152">
        <v>42857</v>
      </c>
      <c r="C105" s="164" t="s">
        <v>315</v>
      </c>
      <c r="D105" s="165">
        <v>108.3</v>
      </c>
      <c r="E105" s="166"/>
      <c r="F105" s="169"/>
      <c r="K105" s="152">
        <f>M105</f>
        <v>42859</v>
      </c>
      <c r="L105" s="145"/>
      <c r="M105" s="152">
        <f t="shared" si="16"/>
        <v>42859</v>
      </c>
      <c r="N105" s="152">
        <v>42859</v>
      </c>
      <c r="O105" s="148">
        <f t="shared" si="17"/>
        <v>0</v>
      </c>
      <c r="P105" s="148">
        <f t="shared" si="18"/>
        <v>0</v>
      </c>
      <c r="Q105" s="148">
        <f t="shared" si="19"/>
        <v>0</v>
      </c>
      <c r="R105" s="148">
        <f t="shared" si="20"/>
        <v>-30</v>
      </c>
      <c r="S105" s="143">
        <v>21</v>
      </c>
      <c r="T105" s="147">
        <f t="shared" si="21"/>
        <v>0</v>
      </c>
      <c r="U105" s="147">
        <f t="shared" si="22"/>
        <v>-3249</v>
      </c>
      <c r="V105" s="143">
        <f t="shared" si="23"/>
        <v>121</v>
      </c>
      <c r="Y105" s="147"/>
    </row>
    <row r="106" spans="1:25" s="18" customFormat="1" ht="12.75">
      <c r="A106" s="161" t="s">
        <v>316</v>
      </c>
      <c r="B106" s="152">
        <v>42836</v>
      </c>
      <c r="C106" s="164" t="s">
        <v>317</v>
      </c>
      <c r="D106" s="165">
        <v>1.21</v>
      </c>
      <c r="E106" s="166"/>
      <c r="F106" s="169"/>
      <c r="K106" s="152">
        <f>M106</f>
        <v>42838</v>
      </c>
      <c r="L106" s="145"/>
      <c r="M106" s="152">
        <f t="shared" si="16"/>
        <v>42838</v>
      </c>
      <c r="N106" s="152">
        <v>42838</v>
      </c>
      <c r="O106" s="148">
        <f t="shared" si="17"/>
        <v>0</v>
      </c>
      <c r="P106" s="148">
        <f t="shared" si="18"/>
        <v>0</v>
      </c>
      <c r="Q106" s="148">
        <f t="shared" si="19"/>
        <v>0</v>
      </c>
      <c r="R106" s="148">
        <f t="shared" si="20"/>
        <v>-30</v>
      </c>
      <c r="S106" s="143">
        <v>21</v>
      </c>
      <c r="T106" s="147">
        <f t="shared" si="21"/>
        <v>0</v>
      </c>
      <c r="U106" s="147">
        <f t="shared" si="22"/>
        <v>-36.3</v>
      </c>
      <c r="V106" s="143">
        <f t="shared" si="23"/>
        <v>121</v>
      </c>
      <c r="Y106" s="147"/>
    </row>
    <row r="107" spans="1:25" s="18" customFormat="1" ht="12.75">
      <c r="A107" s="161" t="s">
        <v>318</v>
      </c>
      <c r="B107" s="152">
        <v>42853</v>
      </c>
      <c r="C107" s="164" t="s">
        <v>319</v>
      </c>
      <c r="D107" s="165">
        <v>128.11</v>
      </c>
      <c r="E107" s="166"/>
      <c r="F107" s="169"/>
      <c r="K107" s="152">
        <f>M107</f>
        <v>42852</v>
      </c>
      <c r="L107" s="145"/>
      <c r="M107" s="152">
        <f t="shared" si="16"/>
        <v>42852</v>
      </c>
      <c r="N107" s="152">
        <v>42852</v>
      </c>
      <c r="O107" s="148">
        <f t="shared" si="17"/>
        <v>0</v>
      </c>
      <c r="P107" s="148">
        <f t="shared" si="18"/>
        <v>0</v>
      </c>
      <c r="Q107" s="148">
        <f t="shared" si="19"/>
        <v>0</v>
      </c>
      <c r="R107" s="148">
        <f t="shared" si="20"/>
        <v>-30</v>
      </c>
      <c r="S107" s="143">
        <v>69</v>
      </c>
      <c r="T107" s="147">
        <f t="shared" si="21"/>
        <v>0</v>
      </c>
      <c r="U107" s="147">
        <f t="shared" si="22"/>
        <v>-3843.3</v>
      </c>
      <c r="V107" s="143">
        <f t="shared" si="23"/>
        <v>169</v>
      </c>
      <c r="Y107" s="147"/>
    </row>
    <row r="108" spans="1:25" s="18" customFormat="1" ht="12.75">
      <c r="A108" s="161" t="s">
        <v>320</v>
      </c>
      <c r="B108" s="152">
        <v>42826</v>
      </c>
      <c r="C108" s="164" t="s">
        <v>321</v>
      </c>
      <c r="D108" s="165">
        <v>135.04</v>
      </c>
      <c r="E108" s="166"/>
      <c r="F108" s="169"/>
      <c r="K108" s="152">
        <v>42886</v>
      </c>
      <c r="L108" s="145"/>
      <c r="M108" s="152">
        <f t="shared" si="16"/>
        <v>42902</v>
      </c>
      <c r="N108" s="152">
        <v>42902</v>
      </c>
      <c r="O108" s="148">
        <f t="shared" si="17"/>
        <v>16</v>
      </c>
      <c r="P108" s="148">
        <f t="shared" si="18"/>
        <v>0</v>
      </c>
      <c r="Q108" s="148">
        <f t="shared" si="19"/>
        <v>16</v>
      </c>
      <c r="R108" s="148">
        <f t="shared" si="20"/>
        <v>-14</v>
      </c>
      <c r="S108" s="143">
        <v>29</v>
      </c>
      <c r="T108" s="147">
        <f t="shared" si="21"/>
        <v>0</v>
      </c>
      <c r="U108" s="147">
        <f t="shared" si="22"/>
        <v>-1890.56</v>
      </c>
      <c r="V108" s="143">
        <f t="shared" si="23"/>
        <v>129</v>
      </c>
      <c r="Y108" s="147"/>
    </row>
    <row r="109" spans="1:25" s="18" customFormat="1" ht="12.75">
      <c r="A109" s="161" t="s">
        <v>322</v>
      </c>
      <c r="B109" s="152">
        <v>42826</v>
      </c>
      <c r="C109" s="164" t="s">
        <v>323</v>
      </c>
      <c r="D109" s="165">
        <v>655.42</v>
      </c>
      <c r="E109" s="166"/>
      <c r="F109" s="169"/>
      <c r="K109" s="152">
        <v>42886</v>
      </c>
      <c r="L109" s="145"/>
      <c r="M109" s="152">
        <f t="shared" si="16"/>
        <v>42902</v>
      </c>
      <c r="N109" s="152">
        <v>42902</v>
      </c>
      <c r="O109" s="148">
        <f t="shared" si="17"/>
        <v>16</v>
      </c>
      <c r="P109" s="148">
        <f t="shared" si="18"/>
        <v>0</v>
      </c>
      <c r="Q109" s="148">
        <f t="shared" si="19"/>
        <v>16</v>
      </c>
      <c r="R109" s="148">
        <f t="shared" si="20"/>
        <v>-14</v>
      </c>
      <c r="S109" s="143">
        <v>29</v>
      </c>
      <c r="T109" s="147">
        <f t="shared" si="21"/>
        <v>0</v>
      </c>
      <c r="U109" s="147">
        <f t="shared" si="22"/>
        <v>-9175.88</v>
      </c>
      <c r="V109" s="143">
        <f t="shared" si="23"/>
        <v>129</v>
      </c>
      <c r="Y109" s="147"/>
    </row>
    <row r="110" spans="1:25" s="18" customFormat="1" ht="12.75">
      <c r="A110" s="161" t="s">
        <v>324</v>
      </c>
      <c r="B110" s="152">
        <v>42826</v>
      </c>
      <c r="C110" s="164" t="s">
        <v>325</v>
      </c>
      <c r="D110" s="165">
        <v>2750</v>
      </c>
      <c r="E110" s="166"/>
      <c r="F110" s="169"/>
      <c r="K110" s="152">
        <v>42885</v>
      </c>
      <c r="L110" s="145"/>
      <c r="M110" s="152">
        <f t="shared" si="16"/>
        <v>42902</v>
      </c>
      <c r="N110" s="152">
        <v>42902</v>
      </c>
      <c r="O110" s="148">
        <f t="shared" si="17"/>
        <v>17</v>
      </c>
      <c r="P110" s="148">
        <f t="shared" si="18"/>
        <v>0</v>
      </c>
      <c r="Q110" s="148">
        <f t="shared" si="19"/>
        <v>17</v>
      </c>
      <c r="R110" s="148">
        <f t="shared" si="20"/>
        <v>-13</v>
      </c>
      <c r="S110" s="143">
        <v>29</v>
      </c>
      <c r="T110" s="147">
        <f t="shared" si="21"/>
        <v>0</v>
      </c>
      <c r="U110" s="147">
        <f t="shared" si="22"/>
        <v>-35750</v>
      </c>
      <c r="V110" s="143">
        <f t="shared" si="23"/>
        <v>129</v>
      </c>
      <c r="Y110" s="147"/>
    </row>
    <row r="111" spans="1:25" s="18" customFormat="1" ht="12.75">
      <c r="A111" s="161" t="s">
        <v>326</v>
      </c>
      <c r="B111" s="152">
        <v>42885</v>
      </c>
      <c r="C111" s="164" t="s">
        <v>327</v>
      </c>
      <c r="D111" s="165">
        <v>2502.52</v>
      </c>
      <c r="E111" s="166"/>
      <c r="F111" s="169"/>
      <c r="K111" s="152">
        <v>42886</v>
      </c>
      <c r="L111" s="145"/>
      <c r="M111" s="152">
        <f t="shared" si="16"/>
        <v>42902</v>
      </c>
      <c r="N111" s="152">
        <v>42902</v>
      </c>
      <c r="O111" s="148">
        <f t="shared" si="17"/>
        <v>16</v>
      </c>
      <c r="P111" s="148">
        <f t="shared" si="18"/>
        <v>0</v>
      </c>
      <c r="Q111" s="148">
        <f t="shared" si="19"/>
        <v>16</v>
      </c>
      <c r="R111" s="148">
        <f t="shared" si="20"/>
        <v>-14</v>
      </c>
      <c r="S111" s="143">
        <v>29</v>
      </c>
      <c r="T111" s="147">
        <f t="shared" si="21"/>
        <v>0</v>
      </c>
      <c r="U111" s="147">
        <f t="shared" si="22"/>
        <v>-35035.28</v>
      </c>
      <c r="V111" s="143">
        <f t="shared" si="23"/>
        <v>129</v>
      </c>
      <c r="Y111" s="147"/>
    </row>
    <row r="112" spans="1:25" s="18" customFormat="1" ht="12.75">
      <c r="A112" s="161" t="s">
        <v>328</v>
      </c>
      <c r="B112" s="152">
        <v>42885</v>
      </c>
      <c r="C112" s="164" t="s">
        <v>329</v>
      </c>
      <c r="D112" s="165">
        <v>116.16</v>
      </c>
      <c r="E112" s="166"/>
      <c r="F112" s="169"/>
      <c r="K112" s="152">
        <v>42886</v>
      </c>
      <c r="L112" s="145"/>
      <c r="M112" s="152">
        <f t="shared" si="16"/>
        <v>42902</v>
      </c>
      <c r="N112" s="152">
        <v>42902</v>
      </c>
      <c r="O112" s="148">
        <f t="shared" si="17"/>
        <v>16</v>
      </c>
      <c r="P112" s="148">
        <f t="shared" si="18"/>
        <v>0</v>
      </c>
      <c r="Q112" s="148">
        <f t="shared" si="19"/>
        <v>16</v>
      </c>
      <c r="R112" s="148">
        <f t="shared" si="20"/>
        <v>-14</v>
      </c>
      <c r="S112" s="143">
        <v>29</v>
      </c>
      <c r="T112" s="147">
        <f t="shared" si="21"/>
        <v>0</v>
      </c>
      <c r="U112" s="147">
        <f t="shared" si="22"/>
        <v>-1626.24</v>
      </c>
      <c r="V112" s="143">
        <f t="shared" si="23"/>
        <v>129</v>
      </c>
      <c r="Y112" s="147"/>
    </row>
    <row r="113" spans="1:25" s="18" customFormat="1" ht="12.75">
      <c r="A113" s="161" t="s">
        <v>330</v>
      </c>
      <c r="B113" s="152">
        <v>42885</v>
      </c>
      <c r="C113" s="164" t="s">
        <v>331</v>
      </c>
      <c r="D113" s="165">
        <v>1157.97</v>
      </c>
      <c r="E113" s="166"/>
      <c r="F113" s="169"/>
      <c r="K113" s="152">
        <v>42886</v>
      </c>
      <c r="L113" s="145"/>
      <c r="M113" s="152">
        <f t="shared" si="16"/>
        <v>42902</v>
      </c>
      <c r="N113" s="152">
        <v>42902</v>
      </c>
      <c r="O113" s="148">
        <f t="shared" si="17"/>
        <v>16</v>
      </c>
      <c r="P113" s="148">
        <f t="shared" si="18"/>
        <v>0</v>
      </c>
      <c r="Q113" s="148">
        <f t="shared" si="19"/>
        <v>16</v>
      </c>
      <c r="R113" s="148">
        <f t="shared" si="20"/>
        <v>-14</v>
      </c>
      <c r="S113" s="143">
        <v>29</v>
      </c>
      <c r="T113" s="147">
        <f t="shared" si="21"/>
        <v>0</v>
      </c>
      <c r="U113" s="147">
        <f t="shared" si="22"/>
        <v>-16211.58</v>
      </c>
      <c r="V113" s="143">
        <f t="shared" si="23"/>
        <v>129</v>
      </c>
      <c r="Y113" s="147"/>
    </row>
    <row r="114" spans="1:25" s="18" customFormat="1" ht="12.75">
      <c r="A114" s="161" t="s">
        <v>332</v>
      </c>
      <c r="B114" s="152">
        <v>42886</v>
      </c>
      <c r="C114" s="164" t="s">
        <v>333</v>
      </c>
      <c r="D114" s="165">
        <v>844.18</v>
      </c>
      <c r="E114" s="166"/>
      <c r="F114" s="169"/>
      <c r="K114" s="152">
        <v>42886</v>
      </c>
      <c r="L114" s="145"/>
      <c r="M114" s="152">
        <f t="shared" si="16"/>
        <v>42902</v>
      </c>
      <c r="N114" s="152">
        <v>42902</v>
      </c>
      <c r="O114" s="148">
        <f t="shared" si="17"/>
        <v>16</v>
      </c>
      <c r="P114" s="148">
        <f t="shared" si="18"/>
        <v>0</v>
      </c>
      <c r="Q114" s="148">
        <f t="shared" si="19"/>
        <v>16</v>
      </c>
      <c r="R114" s="148">
        <f t="shared" si="20"/>
        <v>-14</v>
      </c>
      <c r="S114" s="143">
        <v>29</v>
      </c>
      <c r="T114" s="147">
        <f t="shared" si="21"/>
        <v>0</v>
      </c>
      <c r="U114" s="147">
        <f t="shared" si="22"/>
        <v>-11818.519999999999</v>
      </c>
      <c r="V114" s="143">
        <f t="shared" si="23"/>
        <v>129</v>
      </c>
      <c r="Y114" s="147"/>
    </row>
    <row r="115" spans="1:25" s="18" customFormat="1" ht="12.75">
      <c r="A115" s="161" t="s">
        <v>334</v>
      </c>
      <c r="B115" s="152">
        <v>42886</v>
      </c>
      <c r="C115" s="164" t="s">
        <v>335</v>
      </c>
      <c r="D115" s="165">
        <v>241.79</v>
      </c>
      <c r="E115" s="166"/>
      <c r="F115" s="169"/>
      <c r="K115" s="152">
        <v>42891</v>
      </c>
      <c r="L115" s="145"/>
      <c r="M115" s="152">
        <f t="shared" si="16"/>
        <v>42902</v>
      </c>
      <c r="N115" s="152">
        <v>42902</v>
      </c>
      <c r="O115" s="148">
        <f t="shared" si="17"/>
        <v>11</v>
      </c>
      <c r="P115" s="148">
        <f t="shared" si="18"/>
        <v>0</v>
      </c>
      <c r="Q115" s="148">
        <f t="shared" si="19"/>
        <v>11</v>
      </c>
      <c r="R115" s="148">
        <f t="shared" si="20"/>
        <v>-19</v>
      </c>
      <c r="S115" s="143">
        <v>29</v>
      </c>
      <c r="T115" s="147">
        <f t="shared" si="21"/>
        <v>0</v>
      </c>
      <c r="U115" s="147">
        <f t="shared" si="22"/>
        <v>-4594.01</v>
      </c>
      <c r="V115" s="143">
        <f t="shared" si="23"/>
        <v>129</v>
      </c>
      <c r="Y115" s="147"/>
    </row>
    <row r="116" spans="1:25" s="18" customFormat="1" ht="12.75">
      <c r="A116" s="161" t="s">
        <v>336</v>
      </c>
      <c r="B116" s="152">
        <v>42886</v>
      </c>
      <c r="C116" s="164" t="s">
        <v>337</v>
      </c>
      <c r="D116" s="165">
        <v>3</v>
      </c>
      <c r="E116" s="166"/>
      <c r="F116" s="169"/>
      <c r="K116" s="152">
        <v>42891</v>
      </c>
      <c r="L116" s="145"/>
      <c r="M116" s="152">
        <f t="shared" si="16"/>
        <v>42902</v>
      </c>
      <c r="N116" s="152">
        <v>42902</v>
      </c>
      <c r="O116" s="148">
        <f t="shared" si="17"/>
        <v>11</v>
      </c>
      <c r="P116" s="148">
        <f t="shared" si="18"/>
        <v>0</v>
      </c>
      <c r="Q116" s="148">
        <f t="shared" si="19"/>
        <v>11</v>
      </c>
      <c r="R116" s="148">
        <f t="shared" si="20"/>
        <v>-19</v>
      </c>
      <c r="S116" s="143">
        <v>22</v>
      </c>
      <c r="T116" s="147">
        <f t="shared" si="21"/>
        <v>0</v>
      </c>
      <c r="U116" s="147">
        <f t="shared" si="22"/>
        <v>-57</v>
      </c>
      <c r="V116" s="143">
        <f t="shared" si="23"/>
        <v>122</v>
      </c>
      <c r="Y116" s="147"/>
    </row>
    <row r="117" spans="1:25" s="18" customFormat="1" ht="12.75">
      <c r="A117" s="161" t="s">
        <v>338</v>
      </c>
      <c r="B117" s="152">
        <v>42886</v>
      </c>
      <c r="C117" s="164" t="s">
        <v>339</v>
      </c>
      <c r="D117" s="165">
        <v>197.88</v>
      </c>
      <c r="E117" s="166"/>
      <c r="F117" s="169"/>
      <c r="K117" s="152">
        <v>42891</v>
      </c>
      <c r="L117" s="145"/>
      <c r="M117" s="152">
        <f t="shared" si="16"/>
        <v>42916</v>
      </c>
      <c r="N117" s="152">
        <v>42916</v>
      </c>
      <c r="O117" s="148">
        <f t="shared" si="17"/>
        <v>25</v>
      </c>
      <c r="P117" s="148">
        <f t="shared" si="18"/>
        <v>0</v>
      </c>
      <c r="Q117" s="148">
        <f t="shared" si="19"/>
        <v>25</v>
      </c>
      <c r="R117" s="148">
        <f t="shared" si="20"/>
        <v>-5</v>
      </c>
      <c r="S117" s="143">
        <v>22</v>
      </c>
      <c r="T117" s="147">
        <f t="shared" si="21"/>
        <v>0</v>
      </c>
      <c r="U117" s="147">
        <f t="shared" si="22"/>
        <v>-989.4</v>
      </c>
      <c r="V117" s="143">
        <f t="shared" si="23"/>
        <v>122</v>
      </c>
      <c r="Y117" s="147"/>
    </row>
    <row r="118" spans="1:25" s="143" customFormat="1" ht="12.75">
      <c r="A118" s="161" t="s">
        <v>340</v>
      </c>
      <c r="B118" s="152">
        <v>42884</v>
      </c>
      <c r="C118" s="164" t="s">
        <v>341</v>
      </c>
      <c r="D118" s="165">
        <v>267.37</v>
      </c>
      <c r="E118" s="166"/>
      <c r="F118" s="169"/>
      <c r="K118" s="152">
        <v>42891</v>
      </c>
      <c r="L118" s="144"/>
      <c r="M118" s="152">
        <f t="shared" si="16"/>
        <v>42902</v>
      </c>
      <c r="N118" s="152">
        <v>42902</v>
      </c>
      <c r="O118" s="148">
        <f t="shared" si="17"/>
        <v>11</v>
      </c>
      <c r="P118" s="148">
        <f t="shared" si="18"/>
        <v>0</v>
      </c>
      <c r="Q118" s="148">
        <f t="shared" si="19"/>
        <v>11</v>
      </c>
      <c r="R118" s="148">
        <f t="shared" si="20"/>
        <v>-19</v>
      </c>
      <c r="S118" s="143">
        <v>21</v>
      </c>
      <c r="T118" s="147">
        <f t="shared" si="21"/>
        <v>0</v>
      </c>
      <c r="U118" s="147">
        <f t="shared" si="22"/>
        <v>-5080.03</v>
      </c>
      <c r="V118" s="143">
        <f t="shared" si="23"/>
        <v>121</v>
      </c>
      <c r="Y118" s="147"/>
    </row>
    <row r="119" spans="1:25" s="143" customFormat="1" ht="12.75">
      <c r="A119" s="161" t="s">
        <v>342</v>
      </c>
      <c r="B119" s="152">
        <v>42886</v>
      </c>
      <c r="C119" s="164" t="s">
        <v>343</v>
      </c>
      <c r="D119" s="165">
        <v>1807.5</v>
      </c>
      <c r="E119" s="166"/>
      <c r="F119" s="169"/>
      <c r="K119" s="152">
        <f>M119</f>
        <v>42886</v>
      </c>
      <c r="L119" s="144"/>
      <c r="M119" s="152">
        <f t="shared" si="16"/>
        <v>42886</v>
      </c>
      <c r="N119" s="152">
        <v>42886</v>
      </c>
      <c r="O119" s="148">
        <f t="shared" si="17"/>
        <v>0</v>
      </c>
      <c r="P119" s="148">
        <f t="shared" si="18"/>
        <v>0</v>
      </c>
      <c r="Q119" s="148">
        <f t="shared" si="19"/>
        <v>0</v>
      </c>
      <c r="R119" s="148">
        <f t="shared" si="20"/>
        <v>-30</v>
      </c>
      <c r="S119" s="143">
        <v>29</v>
      </c>
      <c r="T119" s="147">
        <f t="shared" si="21"/>
        <v>0</v>
      </c>
      <c r="U119" s="147">
        <f t="shared" si="22"/>
        <v>-54225</v>
      </c>
      <c r="V119" s="143">
        <f t="shared" si="23"/>
        <v>129</v>
      </c>
      <c r="Y119" s="147"/>
    </row>
    <row r="120" spans="1:25" s="143" customFormat="1" ht="12.75">
      <c r="A120" s="161" t="s">
        <v>344</v>
      </c>
      <c r="B120" s="152">
        <v>42886</v>
      </c>
      <c r="C120" s="164" t="s">
        <v>345</v>
      </c>
      <c r="D120" s="165">
        <v>224.16</v>
      </c>
      <c r="E120" s="166"/>
      <c r="F120" s="169"/>
      <c r="K120" s="152">
        <v>42891</v>
      </c>
      <c r="L120" s="144"/>
      <c r="M120" s="152">
        <f t="shared" si="16"/>
        <v>42892</v>
      </c>
      <c r="N120" s="152">
        <v>42892</v>
      </c>
      <c r="O120" s="148">
        <f t="shared" si="17"/>
        <v>1</v>
      </c>
      <c r="P120" s="148">
        <f t="shared" si="18"/>
        <v>0</v>
      </c>
      <c r="Q120" s="148">
        <f t="shared" si="19"/>
        <v>1</v>
      </c>
      <c r="R120" s="148">
        <f t="shared" si="20"/>
        <v>-29</v>
      </c>
      <c r="S120" s="143">
        <v>29</v>
      </c>
      <c r="T120" s="147">
        <f t="shared" si="21"/>
        <v>0</v>
      </c>
      <c r="U120" s="147">
        <f t="shared" si="22"/>
        <v>-6500.64</v>
      </c>
      <c r="V120" s="143">
        <f t="shared" si="23"/>
        <v>129</v>
      </c>
      <c r="Y120" s="147"/>
    </row>
    <row r="121" spans="1:25" s="18" customFormat="1" ht="12.75">
      <c r="A121" s="161" t="s">
        <v>346</v>
      </c>
      <c r="B121" s="152">
        <v>42881</v>
      </c>
      <c r="C121" s="164" t="s">
        <v>347</v>
      </c>
      <c r="D121" s="165">
        <v>10375.31</v>
      </c>
      <c r="E121" s="166"/>
      <c r="F121" s="169"/>
      <c r="K121" s="152">
        <v>42891</v>
      </c>
      <c r="L121" s="145"/>
      <c r="M121" s="152">
        <f t="shared" si="16"/>
        <v>42902</v>
      </c>
      <c r="N121" s="152">
        <v>42902</v>
      </c>
      <c r="O121" s="148">
        <f t="shared" si="17"/>
        <v>11</v>
      </c>
      <c r="P121" s="148">
        <f t="shared" si="18"/>
        <v>0</v>
      </c>
      <c r="Q121" s="148">
        <f t="shared" si="19"/>
        <v>11</v>
      </c>
      <c r="R121" s="148">
        <f t="shared" si="20"/>
        <v>-19</v>
      </c>
      <c r="S121" s="143">
        <v>29</v>
      </c>
      <c r="T121" s="147">
        <f t="shared" si="21"/>
        <v>0</v>
      </c>
      <c r="U121" s="147">
        <f t="shared" si="22"/>
        <v>-197130.88999999998</v>
      </c>
      <c r="V121" s="143">
        <f t="shared" si="23"/>
        <v>129</v>
      </c>
      <c r="Y121" s="147"/>
    </row>
    <row r="122" spans="1:25" s="18" customFormat="1" ht="12.75">
      <c r="A122" s="161" t="s">
        <v>348</v>
      </c>
      <c r="B122" s="152">
        <v>42887</v>
      </c>
      <c r="C122" s="164" t="s">
        <v>349</v>
      </c>
      <c r="D122" s="165">
        <v>56.86</v>
      </c>
      <c r="E122" s="166"/>
      <c r="F122" s="169"/>
      <c r="K122" s="152">
        <f>M122</f>
        <v>42887</v>
      </c>
      <c r="L122" s="145"/>
      <c r="M122" s="152">
        <f t="shared" si="16"/>
        <v>42887</v>
      </c>
      <c r="N122" s="152">
        <v>42887</v>
      </c>
      <c r="O122" s="148">
        <f t="shared" si="17"/>
        <v>0</v>
      </c>
      <c r="P122" s="148">
        <f t="shared" si="18"/>
        <v>0</v>
      </c>
      <c r="Q122" s="148">
        <f t="shared" si="19"/>
        <v>0</v>
      </c>
      <c r="R122" s="148">
        <f t="shared" si="20"/>
        <v>-30</v>
      </c>
      <c r="S122" s="143">
        <v>21</v>
      </c>
      <c r="T122" s="147">
        <f t="shared" si="21"/>
        <v>0</v>
      </c>
      <c r="U122" s="147">
        <f t="shared" si="22"/>
        <v>-1705.8</v>
      </c>
      <c r="V122" s="143">
        <f t="shared" si="23"/>
        <v>121</v>
      </c>
      <c r="Y122" s="147"/>
    </row>
    <row r="123" spans="1:25" s="18" customFormat="1" ht="12.75">
      <c r="A123" s="161" t="s">
        <v>350</v>
      </c>
      <c r="B123" s="152">
        <v>42886</v>
      </c>
      <c r="C123" s="164" t="s">
        <v>351</v>
      </c>
      <c r="D123" s="165">
        <v>130</v>
      </c>
      <c r="E123" s="166"/>
      <c r="F123" s="169"/>
      <c r="K123" s="152">
        <v>42891</v>
      </c>
      <c r="L123" s="145"/>
      <c r="M123" s="152">
        <f t="shared" si="16"/>
        <v>42902</v>
      </c>
      <c r="N123" s="152">
        <v>42902</v>
      </c>
      <c r="O123" s="148">
        <f t="shared" si="17"/>
        <v>11</v>
      </c>
      <c r="P123" s="148">
        <f t="shared" si="18"/>
        <v>0</v>
      </c>
      <c r="Q123" s="148">
        <f t="shared" si="19"/>
        <v>11</v>
      </c>
      <c r="R123" s="148">
        <f t="shared" si="20"/>
        <v>-19</v>
      </c>
      <c r="S123" s="143">
        <v>29</v>
      </c>
      <c r="T123" s="147">
        <f t="shared" si="21"/>
        <v>0</v>
      </c>
      <c r="U123" s="147">
        <f t="shared" si="22"/>
        <v>-2470</v>
      </c>
      <c r="V123" s="143">
        <f t="shared" si="23"/>
        <v>129</v>
      </c>
      <c r="Y123" s="147"/>
    </row>
    <row r="124" spans="1:25" s="18" customFormat="1" ht="12.75">
      <c r="A124" s="161" t="s">
        <v>352</v>
      </c>
      <c r="B124" s="152">
        <v>42885</v>
      </c>
      <c r="C124" s="164" t="s">
        <v>353</v>
      </c>
      <c r="D124" s="165">
        <v>860.89</v>
      </c>
      <c r="E124" s="166"/>
      <c r="F124" s="169"/>
      <c r="K124" s="152">
        <v>42891</v>
      </c>
      <c r="L124" s="145"/>
      <c r="M124" s="152">
        <f t="shared" si="16"/>
        <v>42902</v>
      </c>
      <c r="N124" s="152">
        <v>42902</v>
      </c>
      <c r="O124" s="148">
        <f t="shared" si="17"/>
        <v>11</v>
      </c>
      <c r="P124" s="148">
        <f t="shared" si="18"/>
        <v>0</v>
      </c>
      <c r="Q124" s="148">
        <f t="shared" si="19"/>
        <v>11</v>
      </c>
      <c r="R124" s="148">
        <f t="shared" si="20"/>
        <v>-19</v>
      </c>
      <c r="S124" s="143">
        <v>29</v>
      </c>
      <c r="T124" s="147">
        <f t="shared" si="21"/>
        <v>0</v>
      </c>
      <c r="U124" s="147">
        <f t="shared" si="22"/>
        <v>-16356.91</v>
      </c>
      <c r="V124" s="143">
        <f t="shared" si="23"/>
        <v>129</v>
      </c>
      <c r="Y124" s="147"/>
    </row>
    <row r="125" spans="1:25" s="18" customFormat="1" ht="12.75">
      <c r="A125" s="161" t="s">
        <v>354</v>
      </c>
      <c r="B125" s="152">
        <v>42886</v>
      </c>
      <c r="C125" s="164" t="s">
        <v>355</v>
      </c>
      <c r="D125" s="165">
        <v>692.97</v>
      </c>
      <c r="E125" s="166"/>
      <c r="F125" s="169"/>
      <c r="K125" s="152">
        <v>42891</v>
      </c>
      <c r="L125" s="145"/>
      <c r="M125" s="152">
        <f t="shared" si="16"/>
        <v>42902</v>
      </c>
      <c r="N125" s="152">
        <v>42902</v>
      </c>
      <c r="O125" s="148">
        <f t="shared" si="17"/>
        <v>11</v>
      </c>
      <c r="P125" s="148">
        <f t="shared" si="18"/>
        <v>0</v>
      </c>
      <c r="Q125" s="148">
        <f t="shared" si="19"/>
        <v>11</v>
      </c>
      <c r="R125" s="148">
        <f t="shared" si="20"/>
        <v>-19</v>
      </c>
      <c r="S125" s="143">
        <v>29</v>
      </c>
      <c r="T125" s="147">
        <f t="shared" si="21"/>
        <v>0</v>
      </c>
      <c r="U125" s="147">
        <f t="shared" si="22"/>
        <v>-13166.43</v>
      </c>
      <c r="V125" s="143">
        <f t="shared" si="23"/>
        <v>129</v>
      </c>
      <c r="Y125" s="147"/>
    </row>
    <row r="126" spans="1:25" s="143" customFormat="1" ht="12.75">
      <c r="A126" s="161" t="s">
        <v>356</v>
      </c>
      <c r="B126" s="152">
        <v>42872</v>
      </c>
      <c r="C126" s="164" t="s">
        <v>357</v>
      </c>
      <c r="D126" s="165">
        <v>17.94</v>
      </c>
      <c r="E126" s="166"/>
      <c r="F126" s="169"/>
      <c r="K126" s="152">
        <f>M126</f>
        <v>42880</v>
      </c>
      <c r="L126" s="144"/>
      <c r="M126" s="152">
        <f t="shared" si="16"/>
        <v>42880</v>
      </c>
      <c r="N126" s="152">
        <v>42880</v>
      </c>
      <c r="O126" s="148">
        <f t="shared" si="17"/>
        <v>0</v>
      </c>
      <c r="P126" s="148">
        <f t="shared" si="18"/>
        <v>0</v>
      </c>
      <c r="Q126" s="148">
        <f t="shared" si="19"/>
        <v>0</v>
      </c>
      <c r="R126" s="148">
        <f t="shared" si="20"/>
        <v>-30</v>
      </c>
      <c r="S126" s="143">
        <v>29</v>
      </c>
      <c r="T126" s="147">
        <f t="shared" si="21"/>
        <v>0</v>
      </c>
      <c r="U126" s="147">
        <f t="shared" si="22"/>
        <v>-538.2</v>
      </c>
      <c r="V126" s="143">
        <f t="shared" si="23"/>
        <v>129</v>
      </c>
      <c r="Y126" s="147"/>
    </row>
    <row r="127" spans="1:25" s="18" customFormat="1" ht="12.75">
      <c r="A127" s="161" t="s">
        <v>358</v>
      </c>
      <c r="B127" s="152">
        <v>42870</v>
      </c>
      <c r="C127" s="164" t="s">
        <v>359</v>
      </c>
      <c r="D127" s="165">
        <v>444.99</v>
      </c>
      <c r="E127" s="166"/>
      <c r="F127" s="169"/>
      <c r="K127" s="152">
        <f>M127</f>
        <v>42872</v>
      </c>
      <c r="L127" s="145"/>
      <c r="M127" s="152">
        <f t="shared" si="16"/>
        <v>42872</v>
      </c>
      <c r="N127" s="152">
        <v>42872</v>
      </c>
      <c r="O127" s="148">
        <f t="shared" si="17"/>
        <v>0</v>
      </c>
      <c r="P127" s="148">
        <f t="shared" si="18"/>
        <v>0</v>
      </c>
      <c r="Q127" s="148">
        <f t="shared" si="19"/>
        <v>0</v>
      </c>
      <c r="R127" s="148">
        <f t="shared" si="20"/>
        <v>-30</v>
      </c>
      <c r="S127" s="143">
        <v>29</v>
      </c>
      <c r="T127" s="147">
        <f t="shared" si="21"/>
        <v>0</v>
      </c>
      <c r="U127" s="147">
        <f t="shared" si="22"/>
        <v>-13349.7</v>
      </c>
      <c r="V127" s="143">
        <f t="shared" si="23"/>
        <v>129</v>
      </c>
      <c r="Y127" s="147"/>
    </row>
    <row r="128" spans="1:25" s="18" customFormat="1" ht="12.75">
      <c r="A128" s="161" t="s">
        <v>360</v>
      </c>
      <c r="B128" s="152">
        <v>42872</v>
      </c>
      <c r="C128" s="164" t="s">
        <v>361</v>
      </c>
      <c r="D128" s="165">
        <v>46.96</v>
      </c>
      <c r="E128" s="166"/>
      <c r="F128" s="169"/>
      <c r="K128" s="152">
        <f>M128</f>
        <v>42880</v>
      </c>
      <c r="L128" s="145"/>
      <c r="M128" s="152">
        <f t="shared" si="16"/>
        <v>42880</v>
      </c>
      <c r="N128" s="152">
        <v>42880</v>
      </c>
      <c r="O128" s="148">
        <f t="shared" si="17"/>
        <v>0</v>
      </c>
      <c r="P128" s="148">
        <f t="shared" si="18"/>
        <v>0</v>
      </c>
      <c r="Q128" s="148">
        <f t="shared" si="19"/>
        <v>0</v>
      </c>
      <c r="R128" s="148">
        <f t="shared" si="20"/>
        <v>-30</v>
      </c>
      <c r="S128" s="143">
        <v>29</v>
      </c>
      <c r="T128" s="147">
        <f t="shared" si="21"/>
        <v>0</v>
      </c>
      <c r="U128" s="147">
        <f t="shared" si="22"/>
        <v>-1408.8</v>
      </c>
      <c r="V128" s="143">
        <f t="shared" si="23"/>
        <v>129</v>
      </c>
      <c r="Y128" s="147"/>
    </row>
    <row r="129" spans="1:25" s="143" customFormat="1" ht="12.75">
      <c r="A129" s="161" t="s">
        <v>362</v>
      </c>
      <c r="B129" s="152">
        <v>42872</v>
      </c>
      <c r="C129" s="164" t="s">
        <v>363</v>
      </c>
      <c r="D129" s="165">
        <v>46.55</v>
      </c>
      <c r="E129" s="166"/>
      <c r="F129" s="169"/>
      <c r="K129" s="152">
        <f>M129</f>
        <v>42880</v>
      </c>
      <c r="L129" s="144"/>
      <c r="M129" s="152">
        <f t="shared" si="16"/>
        <v>42880</v>
      </c>
      <c r="N129" s="152">
        <v>42880</v>
      </c>
      <c r="O129" s="148">
        <f t="shared" si="17"/>
        <v>0</v>
      </c>
      <c r="P129" s="148">
        <f t="shared" si="18"/>
        <v>0</v>
      </c>
      <c r="Q129" s="148">
        <f t="shared" si="19"/>
        <v>0</v>
      </c>
      <c r="R129" s="148">
        <f t="shared" si="20"/>
        <v>-30</v>
      </c>
      <c r="S129" s="143">
        <v>29</v>
      </c>
      <c r="T129" s="147">
        <f t="shared" si="21"/>
        <v>0</v>
      </c>
      <c r="U129" s="147">
        <f t="shared" si="22"/>
        <v>-1396.5</v>
      </c>
      <c r="V129" s="143">
        <f t="shared" si="23"/>
        <v>129</v>
      </c>
      <c r="Y129" s="147"/>
    </row>
    <row r="130" spans="1:25" s="143" customFormat="1" ht="12.75">
      <c r="A130" s="161" t="s">
        <v>364</v>
      </c>
      <c r="B130" s="152">
        <v>42881</v>
      </c>
      <c r="C130" s="164" t="s">
        <v>365</v>
      </c>
      <c r="D130" s="165">
        <v>19.03</v>
      </c>
      <c r="E130" s="166"/>
      <c r="F130" s="169"/>
      <c r="K130" s="152">
        <v>42891</v>
      </c>
      <c r="L130" s="144"/>
      <c r="M130" s="152">
        <f t="shared" si="16"/>
        <v>42891</v>
      </c>
      <c r="N130" s="152">
        <v>42891</v>
      </c>
      <c r="O130" s="148">
        <f t="shared" si="17"/>
        <v>0</v>
      </c>
      <c r="P130" s="148">
        <f t="shared" si="18"/>
        <v>0</v>
      </c>
      <c r="Q130" s="148">
        <f t="shared" si="19"/>
        <v>0</v>
      </c>
      <c r="R130" s="148">
        <f t="shared" si="20"/>
        <v>-30</v>
      </c>
      <c r="S130" s="143">
        <v>29</v>
      </c>
      <c r="T130" s="147">
        <f t="shared" si="21"/>
        <v>0</v>
      </c>
      <c r="U130" s="147">
        <f t="shared" si="22"/>
        <v>-570.9000000000001</v>
      </c>
      <c r="V130" s="143">
        <f t="shared" si="23"/>
        <v>129</v>
      </c>
      <c r="Y130" s="147"/>
    </row>
    <row r="131" spans="1:25" s="143" customFormat="1" ht="12.75">
      <c r="A131" s="161" t="s">
        <v>366</v>
      </c>
      <c r="B131" s="152">
        <v>42881</v>
      </c>
      <c r="C131" s="164" t="s">
        <v>367</v>
      </c>
      <c r="D131" s="165">
        <v>33.82</v>
      </c>
      <c r="E131" s="166"/>
      <c r="F131" s="169"/>
      <c r="K131" s="152">
        <v>42891</v>
      </c>
      <c r="L131" s="144"/>
      <c r="M131" s="152">
        <f t="shared" si="16"/>
        <v>42891</v>
      </c>
      <c r="N131" s="152">
        <v>42891</v>
      </c>
      <c r="O131" s="148">
        <f t="shared" si="17"/>
        <v>0</v>
      </c>
      <c r="P131" s="148">
        <f t="shared" si="18"/>
        <v>0</v>
      </c>
      <c r="Q131" s="148">
        <f t="shared" si="19"/>
        <v>0</v>
      </c>
      <c r="R131" s="148">
        <f t="shared" si="20"/>
        <v>-30</v>
      </c>
      <c r="S131" s="143">
        <v>29</v>
      </c>
      <c r="T131" s="147">
        <f t="shared" si="21"/>
        <v>0</v>
      </c>
      <c r="U131" s="147">
        <f t="shared" si="22"/>
        <v>-1014.6</v>
      </c>
      <c r="V131" s="143">
        <f t="shared" si="23"/>
        <v>129</v>
      </c>
      <c r="Y131" s="147"/>
    </row>
    <row r="132" spans="1:25" s="143" customFormat="1" ht="12.75">
      <c r="A132" s="161" t="s">
        <v>368</v>
      </c>
      <c r="B132" s="152">
        <v>42884</v>
      </c>
      <c r="C132" s="164" t="s">
        <v>369</v>
      </c>
      <c r="D132" s="165">
        <v>17.66</v>
      </c>
      <c r="E132" s="166"/>
      <c r="F132" s="169"/>
      <c r="K132" s="152">
        <v>42891</v>
      </c>
      <c r="L132" s="144"/>
      <c r="M132" s="152">
        <f aca="true" t="shared" si="26" ref="M132:M163">+N132</f>
        <v>42892</v>
      </c>
      <c r="N132" s="152">
        <v>42892</v>
      </c>
      <c r="O132" s="148">
        <f t="shared" si="17"/>
        <v>1</v>
      </c>
      <c r="P132" s="148">
        <f t="shared" si="18"/>
        <v>0</v>
      </c>
      <c r="Q132" s="148">
        <f t="shared" si="19"/>
        <v>1</v>
      </c>
      <c r="R132" s="148">
        <f t="shared" si="20"/>
        <v>-29</v>
      </c>
      <c r="S132" s="143">
        <v>29</v>
      </c>
      <c r="T132" s="147">
        <f t="shared" si="21"/>
        <v>0</v>
      </c>
      <c r="U132" s="147">
        <f t="shared" si="22"/>
        <v>-512.14</v>
      </c>
      <c r="V132" s="143">
        <f t="shared" si="23"/>
        <v>129</v>
      </c>
      <c r="Y132" s="147"/>
    </row>
    <row r="133" spans="1:25" s="143" customFormat="1" ht="12.75">
      <c r="A133" s="161" t="s">
        <v>370</v>
      </c>
      <c r="B133" s="152">
        <v>42878</v>
      </c>
      <c r="C133" s="164" t="s">
        <v>371</v>
      </c>
      <c r="D133" s="165">
        <v>151.25</v>
      </c>
      <c r="E133" s="166"/>
      <c r="F133" s="169"/>
      <c r="K133" s="152">
        <v>42891</v>
      </c>
      <c r="L133" s="144"/>
      <c r="M133" s="152">
        <f t="shared" si="26"/>
        <v>42902</v>
      </c>
      <c r="N133" s="152">
        <v>42902</v>
      </c>
      <c r="O133" s="148">
        <f aca="true" t="shared" si="27" ref="O133:O164">+M133-K133</f>
        <v>11</v>
      </c>
      <c r="P133" s="148">
        <f aca="true" t="shared" si="28" ref="P133:P180">+N133-M133</f>
        <v>0</v>
      </c>
      <c r="Q133" s="148">
        <f aca="true" t="shared" si="29" ref="Q133:Q180">+N133-K133</f>
        <v>11</v>
      </c>
      <c r="R133" s="148">
        <f aca="true" t="shared" si="30" ref="R133:R180">+Q133-30</f>
        <v>-19</v>
      </c>
      <c r="S133" s="143">
        <v>21</v>
      </c>
      <c r="T133" s="147">
        <f aca="true" t="shared" si="31" ref="T133:T180">+P133*D133</f>
        <v>0</v>
      </c>
      <c r="U133" s="147">
        <f t="shared" si="22"/>
        <v>-2873.75</v>
      </c>
      <c r="V133" s="143">
        <f t="shared" si="23"/>
        <v>121</v>
      </c>
      <c r="Y133" s="147"/>
    </row>
    <row r="134" spans="1:25" s="143" customFormat="1" ht="12.75">
      <c r="A134" s="161" t="s">
        <v>372</v>
      </c>
      <c r="B134" s="152">
        <v>42886</v>
      </c>
      <c r="C134" s="164" t="s">
        <v>373</v>
      </c>
      <c r="D134" s="165">
        <v>1108.17</v>
      </c>
      <c r="E134" s="166"/>
      <c r="F134" s="169"/>
      <c r="K134" s="152">
        <f>M134</f>
        <v>42886</v>
      </c>
      <c r="L134" s="144"/>
      <c r="M134" s="152">
        <f t="shared" si="26"/>
        <v>42886</v>
      </c>
      <c r="N134" s="152">
        <v>42886</v>
      </c>
      <c r="O134" s="148">
        <f t="shared" si="27"/>
        <v>0</v>
      </c>
      <c r="P134" s="148">
        <f t="shared" si="28"/>
        <v>0</v>
      </c>
      <c r="Q134" s="148">
        <f t="shared" si="29"/>
        <v>0</v>
      </c>
      <c r="R134" s="148">
        <f t="shared" si="30"/>
        <v>-30</v>
      </c>
      <c r="S134" s="143">
        <v>29</v>
      </c>
      <c r="T134" s="147">
        <f t="shared" si="31"/>
        <v>0</v>
      </c>
      <c r="U134" s="147">
        <f t="shared" si="22"/>
        <v>-33245.100000000006</v>
      </c>
      <c r="V134" s="143">
        <f t="shared" si="23"/>
        <v>129</v>
      </c>
      <c r="Y134" s="147"/>
    </row>
    <row r="135" spans="1:25" s="143" customFormat="1" ht="12.75">
      <c r="A135" s="161" t="s">
        <v>374</v>
      </c>
      <c r="B135" s="152">
        <v>42874</v>
      </c>
      <c r="C135" s="164" t="s">
        <v>375</v>
      </c>
      <c r="D135" s="165">
        <v>128.57</v>
      </c>
      <c r="E135" s="166"/>
      <c r="F135" s="169"/>
      <c r="K135" s="152">
        <v>42892</v>
      </c>
      <c r="L135" s="144"/>
      <c r="M135" s="152">
        <f t="shared" si="26"/>
        <v>42902</v>
      </c>
      <c r="N135" s="152">
        <v>42902</v>
      </c>
      <c r="O135" s="148">
        <f t="shared" si="27"/>
        <v>10</v>
      </c>
      <c r="P135" s="148">
        <f t="shared" si="28"/>
        <v>0</v>
      </c>
      <c r="Q135" s="148">
        <f t="shared" si="29"/>
        <v>10</v>
      </c>
      <c r="R135" s="148">
        <f t="shared" si="30"/>
        <v>-20</v>
      </c>
      <c r="S135" s="143">
        <v>29</v>
      </c>
      <c r="T135" s="147">
        <f t="shared" si="31"/>
        <v>0</v>
      </c>
      <c r="U135" s="147">
        <f aca="true" t="shared" si="32" ref="U135:U198">+R135*D135</f>
        <v>-2571.3999999999996</v>
      </c>
      <c r="V135" s="143">
        <f aca="true" t="shared" si="33" ref="V135:V198">IF(P135&gt;30,200+S135,100+S135)</f>
        <v>129</v>
      </c>
      <c r="Y135" s="147"/>
    </row>
    <row r="136" spans="1:25" s="18" customFormat="1" ht="12.75">
      <c r="A136" s="161" t="s">
        <v>376</v>
      </c>
      <c r="B136" s="152">
        <v>42849</v>
      </c>
      <c r="C136" s="164" t="s">
        <v>377</v>
      </c>
      <c r="D136" s="165">
        <v>589.89</v>
      </c>
      <c r="E136" s="166"/>
      <c r="F136" s="169"/>
      <c r="K136" s="152">
        <f>M136</f>
        <v>42880</v>
      </c>
      <c r="L136" s="145"/>
      <c r="M136" s="152">
        <f t="shared" si="26"/>
        <v>42880</v>
      </c>
      <c r="N136" s="152">
        <v>42880</v>
      </c>
      <c r="O136" s="148">
        <f t="shared" si="27"/>
        <v>0</v>
      </c>
      <c r="P136" s="148">
        <f t="shared" si="28"/>
        <v>0</v>
      </c>
      <c r="Q136" s="148">
        <f t="shared" si="29"/>
        <v>0</v>
      </c>
      <c r="R136" s="148">
        <f t="shared" si="30"/>
        <v>-30</v>
      </c>
      <c r="S136" s="143">
        <v>21</v>
      </c>
      <c r="T136" s="147">
        <f t="shared" si="31"/>
        <v>0</v>
      </c>
      <c r="U136" s="147">
        <f t="shared" si="32"/>
        <v>-17696.7</v>
      </c>
      <c r="V136" s="143">
        <f t="shared" si="33"/>
        <v>121</v>
      </c>
      <c r="Y136" s="147"/>
    </row>
    <row r="137" spans="1:25" s="18" customFormat="1" ht="12.75">
      <c r="A137" s="161" t="s">
        <v>378</v>
      </c>
      <c r="B137" s="152">
        <v>42860</v>
      </c>
      <c r="C137" s="164" t="s">
        <v>379</v>
      </c>
      <c r="D137" s="165">
        <v>82.99</v>
      </c>
      <c r="E137" s="166"/>
      <c r="F137" s="169"/>
      <c r="K137" s="152">
        <v>42892</v>
      </c>
      <c r="L137" s="145"/>
      <c r="M137" s="152">
        <f t="shared" si="26"/>
        <v>42902</v>
      </c>
      <c r="N137" s="152">
        <v>42902</v>
      </c>
      <c r="O137" s="148">
        <f t="shared" si="27"/>
        <v>10</v>
      </c>
      <c r="P137" s="148">
        <f t="shared" si="28"/>
        <v>0</v>
      </c>
      <c r="Q137" s="148">
        <f t="shared" si="29"/>
        <v>10</v>
      </c>
      <c r="R137" s="148">
        <f t="shared" si="30"/>
        <v>-20</v>
      </c>
      <c r="S137" s="143">
        <v>29</v>
      </c>
      <c r="T137" s="147">
        <f t="shared" si="31"/>
        <v>0</v>
      </c>
      <c r="U137" s="147">
        <f t="shared" si="32"/>
        <v>-1659.8</v>
      </c>
      <c r="V137" s="143">
        <f t="shared" si="33"/>
        <v>129</v>
      </c>
      <c r="Y137" s="147"/>
    </row>
    <row r="138" spans="1:25" s="18" customFormat="1" ht="12.75">
      <c r="A138" s="161" t="s">
        <v>380</v>
      </c>
      <c r="B138" s="152">
        <v>42886</v>
      </c>
      <c r="C138" s="164" t="s">
        <v>381</v>
      </c>
      <c r="D138" s="165">
        <v>85</v>
      </c>
      <c r="E138" s="166"/>
      <c r="F138" s="169"/>
      <c r="K138" s="152">
        <v>42892</v>
      </c>
      <c r="L138" s="145"/>
      <c r="M138" s="152">
        <f t="shared" si="26"/>
        <v>42916</v>
      </c>
      <c r="N138" s="152">
        <v>42916</v>
      </c>
      <c r="O138" s="148">
        <f t="shared" si="27"/>
        <v>24</v>
      </c>
      <c r="P138" s="148">
        <f t="shared" si="28"/>
        <v>0</v>
      </c>
      <c r="Q138" s="148">
        <f t="shared" si="29"/>
        <v>24</v>
      </c>
      <c r="R138" s="148">
        <f t="shared" si="30"/>
        <v>-6</v>
      </c>
      <c r="S138" s="143">
        <v>22</v>
      </c>
      <c r="T138" s="147">
        <f t="shared" si="31"/>
        <v>0</v>
      </c>
      <c r="U138" s="147">
        <f t="shared" si="32"/>
        <v>-510</v>
      </c>
      <c r="V138" s="143">
        <f t="shared" si="33"/>
        <v>122</v>
      </c>
      <c r="Y138" s="147"/>
    </row>
    <row r="139" spans="1:25" s="18" customFormat="1" ht="12.75">
      <c r="A139" s="161" t="s">
        <v>382</v>
      </c>
      <c r="B139" s="152">
        <v>42886</v>
      </c>
      <c r="C139" s="164" t="s">
        <v>383</v>
      </c>
      <c r="D139" s="165">
        <v>39.23</v>
      </c>
      <c r="E139" s="166"/>
      <c r="F139" s="169"/>
      <c r="K139" s="152">
        <v>42892</v>
      </c>
      <c r="L139" s="145"/>
      <c r="M139" s="152">
        <f t="shared" si="26"/>
        <v>42894</v>
      </c>
      <c r="N139" s="152">
        <v>42894</v>
      </c>
      <c r="O139" s="148">
        <f t="shared" si="27"/>
        <v>2</v>
      </c>
      <c r="P139" s="148">
        <f t="shared" si="28"/>
        <v>0</v>
      </c>
      <c r="Q139" s="148">
        <f t="shared" si="29"/>
        <v>2</v>
      </c>
      <c r="R139" s="148">
        <f t="shared" si="30"/>
        <v>-28</v>
      </c>
      <c r="S139" s="143">
        <v>22</v>
      </c>
      <c r="T139" s="147">
        <f t="shared" si="31"/>
        <v>0</v>
      </c>
      <c r="U139" s="147">
        <f t="shared" si="32"/>
        <v>-1098.4399999999998</v>
      </c>
      <c r="V139" s="143">
        <f t="shared" si="33"/>
        <v>122</v>
      </c>
      <c r="Y139" s="147"/>
    </row>
    <row r="140" spans="1:25" s="18" customFormat="1" ht="12.75">
      <c r="A140" s="161" t="s">
        <v>384</v>
      </c>
      <c r="B140" s="152">
        <v>42828</v>
      </c>
      <c r="C140" s="164" t="s">
        <v>385</v>
      </c>
      <c r="D140" s="165">
        <v>320.65</v>
      </c>
      <c r="E140" s="166"/>
      <c r="F140" s="169"/>
      <c r="K140" s="152">
        <f>M140</f>
        <v>42853</v>
      </c>
      <c r="L140" s="145"/>
      <c r="M140" s="152">
        <f t="shared" si="26"/>
        <v>42853</v>
      </c>
      <c r="N140" s="152">
        <v>42853</v>
      </c>
      <c r="O140" s="148">
        <f t="shared" si="27"/>
        <v>0</v>
      </c>
      <c r="P140" s="148">
        <f t="shared" si="28"/>
        <v>0</v>
      </c>
      <c r="Q140" s="148">
        <f t="shared" si="29"/>
        <v>0</v>
      </c>
      <c r="R140" s="148">
        <f t="shared" si="30"/>
        <v>-30</v>
      </c>
      <c r="S140" s="143">
        <v>29</v>
      </c>
      <c r="T140" s="147">
        <f t="shared" si="31"/>
        <v>0</v>
      </c>
      <c r="U140" s="147">
        <f t="shared" si="32"/>
        <v>-9619.5</v>
      </c>
      <c r="V140" s="143">
        <f t="shared" si="33"/>
        <v>129</v>
      </c>
      <c r="Y140" s="147"/>
    </row>
    <row r="141" spans="1:25" s="18" customFormat="1" ht="12.75">
      <c r="A141" s="161" t="s">
        <v>386</v>
      </c>
      <c r="B141" s="152">
        <v>42888</v>
      </c>
      <c r="C141" s="164" t="s">
        <v>387</v>
      </c>
      <c r="D141" s="165">
        <v>6897</v>
      </c>
      <c r="E141" s="166"/>
      <c r="F141" s="169"/>
      <c r="K141" s="152">
        <v>42892</v>
      </c>
      <c r="L141" s="145"/>
      <c r="M141" s="152">
        <f t="shared" si="26"/>
        <v>42902</v>
      </c>
      <c r="N141" s="152">
        <v>42902</v>
      </c>
      <c r="O141" s="148">
        <f t="shared" si="27"/>
        <v>10</v>
      </c>
      <c r="P141" s="148">
        <f t="shared" si="28"/>
        <v>0</v>
      </c>
      <c r="Q141" s="148">
        <f t="shared" si="29"/>
        <v>10</v>
      </c>
      <c r="R141" s="148">
        <f t="shared" si="30"/>
        <v>-20</v>
      </c>
      <c r="S141" s="143">
        <v>29</v>
      </c>
      <c r="T141" s="147">
        <f t="shared" si="31"/>
        <v>0</v>
      </c>
      <c r="U141" s="147">
        <f t="shared" si="32"/>
        <v>-137940</v>
      </c>
      <c r="V141" s="143">
        <f t="shared" si="33"/>
        <v>129</v>
      </c>
      <c r="Y141" s="147"/>
    </row>
    <row r="142" spans="1:25" s="18" customFormat="1" ht="12.75">
      <c r="A142" s="161" t="s">
        <v>388</v>
      </c>
      <c r="B142" s="152">
        <v>42858</v>
      </c>
      <c r="C142" s="164" t="s">
        <v>389</v>
      </c>
      <c r="D142" s="165">
        <v>576</v>
      </c>
      <c r="E142" s="166"/>
      <c r="F142" s="169"/>
      <c r="K142" s="152">
        <f>M142</f>
        <v>42859</v>
      </c>
      <c r="L142" s="145"/>
      <c r="M142" s="152">
        <f t="shared" si="26"/>
        <v>42859</v>
      </c>
      <c r="N142" s="152">
        <v>42859</v>
      </c>
      <c r="O142" s="148">
        <f t="shared" si="27"/>
        <v>0</v>
      </c>
      <c r="P142" s="148">
        <f t="shared" si="28"/>
        <v>0</v>
      </c>
      <c r="Q142" s="148">
        <f t="shared" si="29"/>
        <v>0</v>
      </c>
      <c r="R142" s="148">
        <f t="shared" si="30"/>
        <v>-30</v>
      </c>
      <c r="S142" s="143">
        <v>29</v>
      </c>
      <c r="T142" s="147">
        <f t="shared" si="31"/>
        <v>0</v>
      </c>
      <c r="U142" s="147">
        <f t="shared" si="32"/>
        <v>-17280</v>
      </c>
      <c r="V142" s="143">
        <f t="shared" si="33"/>
        <v>129</v>
      </c>
      <c r="Y142" s="147"/>
    </row>
    <row r="143" spans="1:25" s="18" customFormat="1" ht="12.75">
      <c r="A143" s="161" t="s">
        <v>390</v>
      </c>
      <c r="B143" s="152">
        <v>42886</v>
      </c>
      <c r="C143" s="164" t="s">
        <v>391</v>
      </c>
      <c r="D143" s="165">
        <v>119.19</v>
      </c>
      <c r="E143" s="166"/>
      <c r="F143" s="169"/>
      <c r="K143" s="152">
        <f>M143</f>
        <v>42886</v>
      </c>
      <c r="L143" s="145"/>
      <c r="M143" s="152">
        <f t="shared" si="26"/>
        <v>42886</v>
      </c>
      <c r="N143" s="152">
        <v>42886</v>
      </c>
      <c r="O143" s="148">
        <f t="shared" si="27"/>
        <v>0</v>
      </c>
      <c r="P143" s="148">
        <f t="shared" si="28"/>
        <v>0</v>
      </c>
      <c r="Q143" s="148">
        <f t="shared" si="29"/>
        <v>0</v>
      </c>
      <c r="R143" s="148">
        <f t="shared" si="30"/>
        <v>-30</v>
      </c>
      <c r="S143" s="143">
        <v>29</v>
      </c>
      <c r="T143" s="147">
        <f t="shared" si="31"/>
        <v>0</v>
      </c>
      <c r="U143" s="147">
        <f t="shared" si="32"/>
        <v>-3575.7</v>
      </c>
      <c r="V143" s="143">
        <f t="shared" si="33"/>
        <v>129</v>
      </c>
      <c r="Y143" s="147"/>
    </row>
    <row r="144" spans="1:25" s="18" customFormat="1" ht="12.75">
      <c r="A144" s="161" t="s">
        <v>392</v>
      </c>
      <c r="B144" s="152">
        <v>42886</v>
      </c>
      <c r="C144" s="164" t="s">
        <v>393</v>
      </c>
      <c r="D144" s="165">
        <v>63.51</v>
      </c>
      <c r="E144" s="166"/>
      <c r="F144" s="169"/>
      <c r="K144" s="152">
        <v>42893</v>
      </c>
      <c r="L144" s="145"/>
      <c r="M144" s="152">
        <f t="shared" si="26"/>
        <v>42916</v>
      </c>
      <c r="N144" s="152">
        <v>42916</v>
      </c>
      <c r="O144" s="148">
        <f t="shared" si="27"/>
        <v>23</v>
      </c>
      <c r="P144" s="148">
        <f t="shared" si="28"/>
        <v>0</v>
      </c>
      <c r="Q144" s="148">
        <f t="shared" si="29"/>
        <v>23</v>
      </c>
      <c r="R144" s="148">
        <f t="shared" si="30"/>
        <v>-7</v>
      </c>
      <c r="S144" s="143">
        <v>22</v>
      </c>
      <c r="T144" s="147">
        <f t="shared" si="31"/>
        <v>0</v>
      </c>
      <c r="U144" s="147">
        <f t="shared" si="32"/>
        <v>-444.57</v>
      </c>
      <c r="V144" s="143">
        <f t="shared" si="33"/>
        <v>122</v>
      </c>
      <c r="Y144" s="147"/>
    </row>
    <row r="145" spans="1:25" s="18" customFormat="1" ht="12.75">
      <c r="A145" s="161" t="s">
        <v>394</v>
      </c>
      <c r="B145" s="152">
        <v>42865</v>
      </c>
      <c r="C145" s="164" t="s">
        <v>395</v>
      </c>
      <c r="D145" s="165">
        <v>27</v>
      </c>
      <c r="E145" s="166"/>
      <c r="F145" s="169"/>
      <c r="K145" s="152">
        <f>M145</f>
        <v>42867</v>
      </c>
      <c r="L145" s="145"/>
      <c r="M145" s="152">
        <f t="shared" si="26"/>
        <v>42867</v>
      </c>
      <c r="N145" s="152">
        <v>42867</v>
      </c>
      <c r="O145" s="148">
        <f t="shared" si="27"/>
        <v>0</v>
      </c>
      <c r="P145" s="148">
        <f t="shared" si="28"/>
        <v>0</v>
      </c>
      <c r="Q145" s="148">
        <f t="shared" si="29"/>
        <v>0</v>
      </c>
      <c r="R145" s="148">
        <f t="shared" si="30"/>
        <v>-30</v>
      </c>
      <c r="S145" s="143">
        <v>29</v>
      </c>
      <c r="T145" s="147">
        <f t="shared" si="31"/>
        <v>0</v>
      </c>
      <c r="U145" s="147">
        <f t="shared" si="32"/>
        <v>-810</v>
      </c>
      <c r="V145" s="143">
        <f t="shared" si="33"/>
        <v>129</v>
      </c>
      <c r="Y145" s="147"/>
    </row>
    <row r="146" spans="1:25" s="18" customFormat="1" ht="12.75">
      <c r="A146" s="161" t="s">
        <v>396</v>
      </c>
      <c r="B146" s="152">
        <v>42894</v>
      </c>
      <c r="C146" s="164" t="s">
        <v>397</v>
      </c>
      <c r="D146" s="165">
        <v>1815</v>
      </c>
      <c r="E146" s="166"/>
      <c r="F146" s="169"/>
      <c r="K146" s="152">
        <v>42895</v>
      </c>
      <c r="L146" s="145"/>
      <c r="M146" s="152">
        <f t="shared" si="26"/>
        <v>42902</v>
      </c>
      <c r="N146" s="152">
        <v>42902</v>
      </c>
      <c r="O146" s="148">
        <f t="shared" si="27"/>
        <v>7</v>
      </c>
      <c r="P146" s="148">
        <f t="shared" si="28"/>
        <v>0</v>
      </c>
      <c r="Q146" s="148">
        <f t="shared" si="29"/>
        <v>7</v>
      </c>
      <c r="R146" s="148">
        <f t="shared" si="30"/>
        <v>-23</v>
      </c>
      <c r="S146" s="143">
        <v>29</v>
      </c>
      <c r="T146" s="147">
        <f t="shared" si="31"/>
        <v>0</v>
      </c>
      <c r="U146" s="147">
        <f t="shared" si="32"/>
        <v>-41745</v>
      </c>
      <c r="V146" s="143">
        <f t="shared" si="33"/>
        <v>129</v>
      </c>
      <c r="Y146" s="147"/>
    </row>
    <row r="147" spans="1:25" s="143" customFormat="1" ht="12.75">
      <c r="A147" s="161" t="s">
        <v>398</v>
      </c>
      <c r="B147" s="152">
        <v>42886</v>
      </c>
      <c r="C147" s="164" t="s">
        <v>399</v>
      </c>
      <c r="D147" s="165">
        <v>388.01</v>
      </c>
      <c r="E147" s="166"/>
      <c r="F147" s="169"/>
      <c r="K147" s="152">
        <v>42895</v>
      </c>
      <c r="L147" s="144"/>
      <c r="M147" s="152">
        <f t="shared" si="26"/>
        <v>42906</v>
      </c>
      <c r="N147" s="152">
        <v>42906</v>
      </c>
      <c r="O147" s="148">
        <f t="shared" si="27"/>
        <v>11</v>
      </c>
      <c r="P147" s="148">
        <f t="shared" si="28"/>
        <v>0</v>
      </c>
      <c r="Q147" s="148">
        <f t="shared" si="29"/>
        <v>11</v>
      </c>
      <c r="R147" s="148">
        <f t="shared" si="30"/>
        <v>-19</v>
      </c>
      <c r="S147" s="143">
        <v>20</v>
      </c>
      <c r="T147" s="147">
        <f t="shared" si="31"/>
        <v>0</v>
      </c>
      <c r="U147" s="147">
        <f t="shared" si="32"/>
        <v>-7372.19</v>
      </c>
      <c r="V147" s="143">
        <f t="shared" si="33"/>
        <v>120</v>
      </c>
      <c r="Y147" s="147"/>
    </row>
    <row r="148" spans="1:25" s="143" customFormat="1" ht="12.75">
      <c r="A148" s="161" t="s">
        <v>400</v>
      </c>
      <c r="B148" s="152">
        <v>42898</v>
      </c>
      <c r="C148" s="162" t="s">
        <v>401</v>
      </c>
      <c r="D148" s="163">
        <v>869.2</v>
      </c>
      <c r="E148" s="166"/>
      <c r="F148" s="169"/>
      <c r="K148" s="152">
        <v>42898</v>
      </c>
      <c r="L148" s="144"/>
      <c r="M148" s="152">
        <f t="shared" si="26"/>
        <v>42902</v>
      </c>
      <c r="N148" s="152">
        <v>42902</v>
      </c>
      <c r="O148" s="148">
        <f t="shared" si="27"/>
        <v>4</v>
      </c>
      <c r="P148" s="148">
        <f t="shared" si="28"/>
        <v>0</v>
      </c>
      <c r="Q148" s="148">
        <f t="shared" si="29"/>
        <v>4</v>
      </c>
      <c r="R148" s="148">
        <f t="shared" si="30"/>
        <v>-26</v>
      </c>
      <c r="S148" s="143">
        <v>29</v>
      </c>
      <c r="T148" s="147">
        <f t="shared" si="31"/>
        <v>0</v>
      </c>
      <c r="U148" s="147">
        <f t="shared" si="32"/>
        <v>-22599.2</v>
      </c>
      <c r="V148" s="143">
        <f t="shared" si="33"/>
        <v>129</v>
      </c>
      <c r="Y148" s="147"/>
    </row>
    <row r="149" spans="1:25" s="18" customFormat="1" ht="12.75">
      <c r="A149" s="161" t="s">
        <v>402</v>
      </c>
      <c r="B149" s="152">
        <v>42887</v>
      </c>
      <c r="C149" s="164" t="s">
        <v>403</v>
      </c>
      <c r="D149" s="165">
        <v>545.3</v>
      </c>
      <c r="E149" s="166"/>
      <c r="F149" s="169"/>
      <c r="K149" s="152">
        <v>42898</v>
      </c>
      <c r="L149" s="145"/>
      <c r="M149" s="152">
        <f t="shared" si="26"/>
        <v>42902</v>
      </c>
      <c r="N149" s="152">
        <v>42902</v>
      </c>
      <c r="O149" s="148">
        <f t="shared" si="27"/>
        <v>4</v>
      </c>
      <c r="P149" s="148">
        <f t="shared" si="28"/>
        <v>0</v>
      </c>
      <c r="Q149" s="148">
        <f t="shared" si="29"/>
        <v>4</v>
      </c>
      <c r="R149" s="148">
        <f t="shared" si="30"/>
        <v>-26</v>
      </c>
      <c r="S149" s="143">
        <v>29</v>
      </c>
      <c r="T149" s="147">
        <f t="shared" si="31"/>
        <v>0</v>
      </c>
      <c r="U149" s="147">
        <f t="shared" si="32"/>
        <v>-14177.8</v>
      </c>
      <c r="V149" s="143">
        <f t="shared" si="33"/>
        <v>129</v>
      </c>
      <c r="Y149" s="147"/>
    </row>
    <row r="150" spans="1:25" s="18" customFormat="1" ht="12.75">
      <c r="A150" s="161" t="s">
        <v>404</v>
      </c>
      <c r="B150" s="152">
        <v>42877</v>
      </c>
      <c r="C150" s="164" t="s">
        <v>405</v>
      </c>
      <c r="D150" s="165">
        <v>468.78</v>
      </c>
      <c r="E150" s="166"/>
      <c r="F150" s="169"/>
      <c r="K150" s="152">
        <v>42898</v>
      </c>
      <c r="L150" s="145"/>
      <c r="M150" s="152">
        <f t="shared" si="26"/>
        <v>42909</v>
      </c>
      <c r="N150" s="152">
        <v>42909</v>
      </c>
      <c r="O150" s="148">
        <f t="shared" si="27"/>
        <v>11</v>
      </c>
      <c r="P150" s="148">
        <f t="shared" si="28"/>
        <v>0</v>
      </c>
      <c r="Q150" s="148">
        <f t="shared" si="29"/>
        <v>11</v>
      </c>
      <c r="R150" s="148">
        <f t="shared" si="30"/>
        <v>-19</v>
      </c>
      <c r="S150" s="143">
        <v>21</v>
      </c>
      <c r="T150" s="147">
        <f t="shared" si="31"/>
        <v>0</v>
      </c>
      <c r="U150" s="147">
        <f t="shared" si="32"/>
        <v>-8906.82</v>
      </c>
      <c r="V150" s="143">
        <f t="shared" si="33"/>
        <v>121</v>
      </c>
      <c r="Y150" s="147"/>
    </row>
    <row r="151" spans="1:25" s="18" customFormat="1" ht="12.75">
      <c r="A151" s="161" t="s">
        <v>406</v>
      </c>
      <c r="B151" s="152">
        <v>42892</v>
      </c>
      <c r="C151" s="164" t="s">
        <v>407</v>
      </c>
      <c r="D151" s="165">
        <v>198</v>
      </c>
      <c r="E151" s="166"/>
      <c r="F151" s="169"/>
      <c r="K151" s="152">
        <v>42892</v>
      </c>
      <c r="L151" s="145"/>
      <c r="M151" s="152">
        <f t="shared" si="26"/>
        <v>42902</v>
      </c>
      <c r="N151" s="152">
        <v>42902</v>
      </c>
      <c r="O151" s="148">
        <f t="shared" si="27"/>
        <v>10</v>
      </c>
      <c r="P151" s="148">
        <f t="shared" si="28"/>
        <v>0</v>
      </c>
      <c r="Q151" s="148">
        <f t="shared" si="29"/>
        <v>10</v>
      </c>
      <c r="R151" s="148">
        <f t="shared" si="30"/>
        <v>-20</v>
      </c>
      <c r="S151" s="143">
        <v>29</v>
      </c>
      <c r="T151" s="147">
        <f t="shared" si="31"/>
        <v>0</v>
      </c>
      <c r="U151" s="147">
        <f t="shared" si="32"/>
        <v>-3960</v>
      </c>
      <c r="V151" s="143">
        <f t="shared" si="33"/>
        <v>129</v>
      </c>
      <c r="Y151" s="147"/>
    </row>
    <row r="152" spans="1:25" s="18" customFormat="1" ht="12.75">
      <c r="A152" s="161" t="s">
        <v>408</v>
      </c>
      <c r="B152" s="152">
        <v>42845</v>
      </c>
      <c r="C152" s="164" t="s">
        <v>409</v>
      </c>
      <c r="D152" s="165">
        <v>151.25</v>
      </c>
      <c r="E152" s="166"/>
      <c r="F152" s="169"/>
      <c r="K152" s="152">
        <v>42900</v>
      </c>
      <c r="L152" s="145"/>
      <c r="M152" s="152">
        <f t="shared" si="26"/>
        <v>42902</v>
      </c>
      <c r="N152" s="152">
        <v>42902</v>
      </c>
      <c r="O152" s="148">
        <f t="shared" si="27"/>
        <v>2</v>
      </c>
      <c r="P152" s="148">
        <f t="shared" si="28"/>
        <v>0</v>
      </c>
      <c r="Q152" s="148">
        <f t="shared" si="29"/>
        <v>2</v>
      </c>
      <c r="R152" s="148">
        <f t="shared" si="30"/>
        <v>-28</v>
      </c>
      <c r="S152" s="143">
        <v>21</v>
      </c>
      <c r="T152" s="147">
        <f t="shared" si="31"/>
        <v>0</v>
      </c>
      <c r="U152" s="147">
        <f t="shared" si="32"/>
        <v>-4235</v>
      </c>
      <c r="V152" s="143">
        <f t="shared" si="33"/>
        <v>121</v>
      </c>
      <c r="Y152" s="147"/>
    </row>
    <row r="153" spans="1:25" s="18" customFormat="1" ht="12.75">
      <c r="A153" s="161" t="s">
        <v>410</v>
      </c>
      <c r="B153" s="152">
        <v>42891</v>
      </c>
      <c r="C153" s="164" t="s">
        <v>411</v>
      </c>
      <c r="D153" s="165">
        <v>275.88</v>
      </c>
      <c r="E153" s="166"/>
      <c r="F153" s="169"/>
      <c r="K153" s="152">
        <v>42900</v>
      </c>
      <c r="L153" s="145"/>
      <c r="M153" s="152">
        <f t="shared" si="26"/>
        <v>42902</v>
      </c>
      <c r="N153" s="152">
        <v>42902</v>
      </c>
      <c r="O153" s="148">
        <f t="shared" si="27"/>
        <v>2</v>
      </c>
      <c r="P153" s="148">
        <f t="shared" si="28"/>
        <v>0</v>
      </c>
      <c r="Q153" s="148">
        <f t="shared" si="29"/>
        <v>2</v>
      </c>
      <c r="R153" s="148">
        <f t="shared" si="30"/>
        <v>-28</v>
      </c>
      <c r="S153" s="143">
        <v>22</v>
      </c>
      <c r="T153" s="147">
        <f t="shared" si="31"/>
        <v>0</v>
      </c>
      <c r="U153" s="147">
        <f t="shared" si="32"/>
        <v>-7724.639999999999</v>
      </c>
      <c r="V153" s="143">
        <f t="shared" si="33"/>
        <v>122</v>
      </c>
      <c r="Y153" s="147"/>
    </row>
    <row r="154" spans="1:25" s="18" customFormat="1" ht="12.75">
      <c r="A154" s="161" t="s">
        <v>412</v>
      </c>
      <c r="B154" s="152">
        <v>42886</v>
      </c>
      <c r="C154" s="164" t="s">
        <v>413</v>
      </c>
      <c r="D154" s="165">
        <v>1161.6</v>
      </c>
      <c r="E154" s="166"/>
      <c r="F154" s="169"/>
      <c r="K154" s="152">
        <v>42900</v>
      </c>
      <c r="L154" s="145"/>
      <c r="M154" s="152">
        <f t="shared" si="26"/>
        <v>42916</v>
      </c>
      <c r="N154" s="152">
        <v>42916</v>
      </c>
      <c r="O154" s="148">
        <f t="shared" si="27"/>
        <v>16</v>
      </c>
      <c r="P154" s="148">
        <f t="shared" si="28"/>
        <v>0</v>
      </c>
      <c r="Q154" s="148">
        <f t="shared" si="29"/>
        <v>16</v>
      </c>
      <c r="R154" s="148">
        <f t="shared" si="30"/>
        <v>-14</v>
      </c>
      <c r="S154" s="143">
        <v>29</v>
      </c>
      <c r="T154" s="147">
        <f t="shared" si="31"/>
        <v>0</v>
      </c>
      <c r="U154" s="147">
        <f t="shared" si="32"/>
        <v>-16262.399999999998</v>
      </c>
      <c r="V154" s="143">
        <f t="shared" si="33"/>
        <v>129</v>
      </c>
      <c r="Y154" s="147"/>
    </row>
    <row r="155" spans="1:25" s="18" customFormat="1" ht="12.75">
      <c r="A155" s="161" t="s">
        <v>414</v>
      </c>
      <c r="B155" s="152">
        <v>42916</v>
      </c>
      <c r="C155" s="162" t="s">
        <v>415</v>
      </c>
      <c r="D155" s="163">
        <v>2346</v>
      </c>
      <c r="E155" s="166"/>
      <c r="F155" s="169"/>
      <c r="K155" s="152">
        <v>42906</v>
      </c>
      <c r="L155" s="145"/>
      <c r="M155" s="152">
        <f t="shared" si="26"/>
        <v>42916</v>
      </c>
      <c r="N155" s="152">
        <v>42916</v>
      </c>
      <c r="O155" s="148">
        <f t="shared" si="27"/>
        <v>10</v>
      </c>
      <c r="P155" s="148">
        <f t="shared" si="28"/>
        <v>0</v>
      </c>
      <c r="Q155" s="148">
        <f t="shared" si="29"/>
        <v>10</v>
      </c>
      <c r="R155" s="148">
        <f t="shared" si="30"/>
        <v>-20</v>
      </c>
      <c r="S155" s="143">
        <v>29</v>
      </c>
      <c r="T155" s="147">
        <f t="shared" si="31"/>
        <v>0</v>
      </c>
      <c r="U155" s="147">
        <f t="shared" si="32"/>
        <v>-46920</v>
      </c>
      <c r="V155" s="143">
        <f t="shared" si="33"/>
        <v>129</v>
      </c>
      <c r="Y155" s="147"/>
    </row>
    <row r="156" spans="1:25" s="143" customFormat="1" ht="12.75">
      <c r="A156" s="161" t="s">
        <v>416</v>
      </c>
      <c r="B156" s="152">
        <v>42887</v>
      </c>
      <c r="C156" s="164" t="s">
        <v>417</v>
      </c>
      <c r="D156" s="165">
        <v>28.6</v>
      </c>
      <c r="K156" s="152">
        <f aca="true" t="shared" si="34" ref="K156:K161">M156</f>
        <v>42891</v>
      </c>
      <c r="L156" s="144"/>
      <c r="M156" s="152">
        <f t="shared" si="26"/>
        <v>42891</v>
      </c>
      <c r="N156" s="152">
        <v>42891</v>
      </c>
      <c r="O156" s="148">
        <f t="shared" si="27"/>
        <v>0</v>
      </c>
      <c r="P156" s="148">
        <f t="shared" si="28"/>
        <v>0</v>
      </c>
      <c r="Q156" s="148">
        <f t="shared" si="29"/>
        <v>0</v>
      </c>
      <c r="R156" s="148">
        <f t="shared" si="30"/>
        <v>-30</v>
      </c>
      <c r="S156" s="143">
        <v>20</v>
      </c>
      <c r="T156" s="147">
        <f t="shared" si="31"/>
        <v>0</v>
      </c>
      <c r="U156" s="147">
        <f t="shared" si="32"/>
        <v>-858</v>
      </c>
      <c r="V156" s="143">
        <f t="shared" si="33"/>
        <v>120</v>
      </c>
      <c r="Y156" s="147"/>
    </row>
    <row r="157" spans="1:25" s="143" customFormat="1" ht="12.75">
      <c r="A157" s="161" t="s">
        <v>418</v>
      </c>
      <c r="B157" s="152">
        <v>42887</v>
      </c>
      <c r="C157" s="164" t="s">
        <v>419</v>
      </c>
      <c r="D157" s="165">
        <v>217.8</v>
      </c>
      <c r="K157" s="152">
        <f t="shared" si="34"/>
        <v>42891</v>
      </c>
      <c r="L157" s="144"/>
      <c r="M157" s="152">
        <f t="shared" si="26"/>
        <v>42891</v>
      </c>
      <c r="N157" s="152">
        <v>42891</v>
      </c>
      <c r="O157" s="148">
        <f t="shared" si="27"/>
        <v>0</v>
      </c>
      <c r="P157" s="148">
        <f t="shared" si="28"/>
        <v>0</v>
      </c>
      <c r="Q157" s="148">
        <f t="shared" si="29"/>
        <v>0</v>
      </c>
      <c r="R157" s="148">
        <f t="shared" si="30"/>
        <v>-30</v>
      </c>
      <c r="S157" s="143">
        <v>20</v>
      </c>
      <c r="T157" s="147">
        <f t="shared" si="31"/>
        <v>0</v>
      </c>
      <c r="U157" s="147">
        <f t="shared" si="32"/>
        <v>-6534</v>
      </c>
      <c r="V157" s="143">
        <f t="shared" si="33"/>
        <v>120</v>
      </c>
      <c r="Y157" s="147"/>
    </row>
    <row r="158" spans="1:25" s="18" customFormat="1" ht="12.75">
      <c r="A158" s="161" t="s">
        <v>420</v>
      </c>
      <c r="B158" s="152">
        <v>42898</v>
      </c>
      <c r="C158" s="164" t="s">
        <v>421</v>
      </c>
      <c r="D158" s="165">
        <v>95.53</v>
      </c>
      <c r="K158" s="152">
        <f t="shared" si="34"/>
        <v>42900</v>
      </c>
      <c r="L158" s="145"/>
      <c r="M158" s="152">
        <f t="shared" si="26"/>
        <v>42900</v>
      </c>
      <c r="N158" s="152">
        <v>42900</v>
      </c>
      <c r="O158" s="148">
        <f t="shared" si="27"/>
        <v>0</v>
      </c>
      <c r="P158" s="148">
        <f t="shared" si="28"/>
        <v>0</v>
      </c>
      <c r="Q158" s="148">
        <f t="shared" si="29"/>
        <v>0</v>
      </c>
      <c r="R158" s="148">
        <f t="shared" si="30"/>
        <v>-30</v>
      </c>
      <c r="S158" s="143">
        <v>20</v>
      </c>
      <c r="T158" s="147">
        <f t="shared" si="31"/>
        <v>0</v>
      </c>
      <c r="U158" s="147">
        <f t="shared" si="32"/>
        <v>-2865.9</v>
      </c>
      <c r="V158" s="143">
        <f t="shared" si="33"/>
        <v>120</v>
      </c>
      <c r="Y158" s="147"/>
    </row>
    <row r="159" spans="1:25" s="18" customFormat="1" ht="12.75">
      <c r="A159" s="161" t="s">
        <v>422</v>
      </c>
      <c r="B159" s="152">
        <v>42886</v>
      </c>
      <c r="C159" s="164" t="s">
        <v>423</v>
      </c>
      <c r="D159" s="165">
        <v>72.54</v>
      </c>
      <c r="K159" s="152">
        <f t="shared" si="34"/>
        <v>42894</v>
      </c>
      <c r="L159" s="145"/>
      <c r="M159" s="152">
        <f t="shared" si="26"/>
        <v>42894</v>
      </c>
      <c r="N159" s="152">
        <v>42894</v>
      </c>
      <c r="O159" s="148">
        <f t="shared" si="27"/>
        <v>0</v>
      </c>
      <c r="P159" s="148">
        <f t="shared" si="28"/>
        <v>0</v>
      </c>
      <c r="Q159" s="148">
        <f t="shared" si="29"/>
        <v>0</v>
      </c>
      <c r="R159" s="148">
        <f t="shared" si="30"/>
        <v>-30</v>
      </c>
      <c r="S159" s="143">
        <v>29</v>
      </c>
      <c r="T159" s="147">
        <f t="shared" si="31"/>
        <v>0</v>
      </c>
      <c r="U159" s="147">
        <f t="shared" si="32"/>
        <v>-2176.2000000000003</v>
      </c>
      <c r="V159" s="143">
        <f t="shared" si="33"/>
        <v>129</v>
      </c>
      <c r="Y159" s="147"/>
    </row>
    <row r="160" spans="1:25" s="18" customFormat="1" ht="12.75">
      <c r="A160" s="161" t="s">
        <v>424</v>
      </c>
      <c r="B160" s="152">
        <v>42900</v>
      </c>
      <c r="C160" s="164" t="s">
        <v>425</v>
      </c>
      <c r="D160" s="165">
        <v>402.17</v>
      </c>
      <c r="K160" s="152">
        <f t="shared" si="34"/>
        <v>42902</v>
      </c>
      <c r="L160" s="145"/>
      <c r="M160" s="152">
        <f t="shared" si="26"/>
        <v>42902</v>
      </c>
      <c r="N160" s="152">
        <v>42902</v>
      </c>
      <c r="O160" s="148">
        <f t="shared" si="27"/>
        <v>0</v>
      </c>
      <c r="P160" s="148">
        <f t="shared" si="28"/>
        <v>0</v>
      </c>
      <c r="Q160" s="148">
        <f t="shared" si="29"/>
        <v>0</v>
      </c>
      <c r="R160" s="148">
        <f t="shared" si="30"/>
        <v>-30</v>
      </c>
      <c r="S160" s="143">
        <v>29</v>
      </c>
      <c r="T160" s="147">
        <f t="shared" si="31"/>
        <v>0</v>
      </c>
      <c r="U160" s="147">
        <f t="shared" si="32"/>
        <v>-12065.1</v>
      </c>
      <c r="V160" s="143">
        <f t="shared" si="33"/>
        <v>129</v>
      </c>
      <c r="Y160" s="147"/>
    </row>
    <row r="161" spans="1:25" s="18" customFormat="1" ht="12.75">
      <c r="A161" s="161" t="s">
        <v>426</v>
      </c>
      <c r="B161" s="152">
        <v>42901</v>
      </c>
      <c r="C161" s="164" t="s">
        <v>427</v>
      </c>
      <c r="D161" s="165">
        <v>504.44</v>
      </c>
      <c r="K161" s="152">
        <f t="shared" si="34"/>
        <v>42905</v>
      </c>
      <c r="L161" s="145"/>
      <c r="M161" s="152">
        <f t="shared" si="26"/>
        <v>42905</v>
      </c>
      <c r="N161" s="152">
        <v>42905</v>
      </c>
      <c r="O161" s="148">
        <f t="shared" si="27"/>
        <v>0</v>
      </c>
      <c r="P161" s="148">
        <f t="shared" si="28"/>
        <v>0</v>
      </c>
      <c r="Q161" s="148">
        <f t="shared" si="29"/>
        <v>0</v>
      </c>
      <c r="R161" s="148">
        <f t="shared" si="30"/>
        <v>-30</v>
      </c>
      <c r="S161" s="143">
        <v>29</v>
      </c>
      <c r="T161" s="147">
        <f t="shared" si="31"/>
        <v>0</v>
      </c>
      <c r="U161" s="147">
        <f t="shared" si="32"/>
        <v>-15133.2</v>
      </c>
      <c r="V161" s="143">
        <f t="shared" si="33"/>
        <v>129</v>
      </c>
      <c r="Y161" s="147"/>
    </row>
    <row r="162" spans="1:25" s="18" customFormat="1" ht="12.75">
      <c r="A162" s="161" t="s">
        <v>428</v>
      </c>
      <c r="B162" s="152">
        <v>42907</v>
      </c>
      <c r="C162" s="162" t="s">
        <v>429</v>
      </c>
      <c r="D162" s="163">
        <v>510</v>
      </c>
      <c r="K162" s="152">
        <v>42907</v>
      </c>
      <c r="L162" s="145"/>
      <c r="M162" s="152">
        <f t="shared" si="26"/>
        <v>42916</v>
      </c>
      <c r="N162" s="152">
        <v>42916</v>
      </c>
      <c r="O162" s="148">
        <f t="shared" si="27"/>
        <v>9</v>
      </c>
      <c r="P162" s="148">
        <f t="shared" si="28"/>
        <v>0</v>
      </c>
      <c r="Q162" s="148">
        <f t="shared" si="29"/>
        <v>9</v>
      </c>
      <c r="R162" s="148">
        <f t="shared" si="30"/>
        <v>-21</v>
      </c>
      <c r="S162" s="143">
        <v>29</v>
      </c>
      <c r="T162" s="147">
        <f t="shared" si="31"/>
        <v>0</v>
      </c>
      <c r="U162" s="147">
        <f t="shared" si="32"/>
        <v>-10710</v>
      </c>
      <c r="V162" s="143">
        <f t="shared" si="33"/>
        <v>129</v>
      </c>
      <c r="Y162" s="147"/>
    </row>
    <row r="163" spans="1:25" s="18" customFormat="1" ht="12.75">
      <c r="A163" s="161" t="s">
        <v>430</v>
      </c>
      <c r="B163" s="152">
        <v>42902</v>
      </c>
      <c r="C163" s="164" t="s">
        <v>431</v>
      </c>
      <c r="D163" s="165">
        <v>14.94</v>
      </c>
      <c r="K163" s="152">
        <v>42908</v>
      </c>
      <c r="L163" s="145"/>
      <c r="M163" s="152">
        <f t="shared" si="26"/>
        <v>42912</v>
      </c>
      <c r="N163" s="152">
        <v>42912</v>
      </c>
      <c r="O163" s="148">
        <f t="shared" si="27"/>
        <v>4</v>
      </c>
      <c r="P163" s="148">
        <f t="shared" si="28"/>
        <v>0</v>
      </c>
      <c r="Q163" s="148">
        <f t="shared" si="29"/>
        <v>4</v>
      </c>
      <c r="R163" s="148">
        <f t="shared" si="30"/>
        <v>-26</v>
      </c>
      <c r="S163" s="143">
        <v>29</v>
      </c>
      <c r="T163" s="147">
        <f t="shared" si="31"/>
        <v>0</v>
      </c>
      <c r="U163" s="147">
        <f t="shared" si="32"/>
        <v>-388.44</v>
      </c>
      <c r="V163" s="143">
        <f t="shared" si="33"/>
        <v>129</v>
      </c>
      <c r="Y163" s="147"/>
    </row>
    <row r="164" spans="1:25" s="18" customFormat="1" ht="12.75">
      <c r="A164" s="161" t="s">
        <v>432</v>
      </c>
      <c r="B164" s="152">
        <v>42902</v>
      </c>
      <c r="C164" s="164" t="s">
        <v>433</v>
      </c>
      <c r="D164" s="165">
        <v>13.07</v>
      </c>
      <c r="K164" s="152">
        <v>42908</v>
      </c>
      <c r="L164" s="145"/>
      <c r="M164" s="152">
        <f aca="true" t="shared" si="35" ref="M164:M195">+N164</f>
        <v>42912</v>
      </c>
      <c r="N164" s="152">
        <v>42912</v>
      </c>
      <c r="O164" s="148">
        <f t="shared" si="27"/>
        <v>4</v>
      </c>
      <c r="P164" s="148">
        <f t="shared" si="28"/>
        <v>0</v>
      </c>
      <c r="Q164" s="148">
        <f t="shared" si="29"/>
        <v>4</v>
      </c>
      <c r="R164" s="148">
        <f t="shared" si="30"/>
        <v>-26</v>
      </c>
      <c r="S164" s="143">
        <v>29</v>
      </c>
      <c r="T164" s="147">
        <f t="shared" si="31"/>
        <v>0</v>
      </c>
      <c r="U164" s="147">
        <f t="shared" si="32"/>
        <v>-339.82</v>
      </c>
      <c r="V164" s="143">
        <f t="shared" si="33"/>
        <v>129</v>
      </c>
      <c r="Y164" s="147"/>
    </row>
    <row r="165" spans="1:25" s="18" customFormat="1" ht="12.75">
      <c r="A165" s="161" t="s">
        <v>434</v>
      </c>
      <c r="B165" s="152">
        <v>42901</v>
      </c>
      <c r="C165" s="164" t="s">
        <v>435</v>
      </c>
      <c r="D165" s="165">
        <v>33.64</v>
      </c>
      <c r="K165" s="152">
        <v>42908</v>
      </c>
      <c r="L165" s="145"/>
      <c r="M165" s="152">
        <f t="shared" si="35"/>
        <v>42909</v>
      </c>
      <c r="N165" s="152">
        <v>42909</v>
      </c>
      <c r="O165" s="148">
        <f aca="true" t="shared" si="36" ref="O165:O196">+M165-K165</f>
        <v>1</v>
      </c>
      <c r="P165" s="148">
        <f t="shared" si="28"/>
        <v>0</v>
      </c>
      <c r="Q165" s="148">
        <f t="shared" si="29"/>
        <v>1</v>
      </c>
      <c r="R165" s="148">
        <f t="shared" si="30"/>
        <v>-29</v>
      </c>
      <c r="S165" s="143">
        <v>29</v>
      </c>
      <c r="T165" s="147">
        <f t="shared" si="31"/>
        <v>0</v>
      </c>
      <c r="U165" s="147">
        <f t="shared" si="32"/>
        <v>-975.5600000000001</v>
      </c>
      <c r="V165" s="143">
        <f t="shared" si="33"/>
        <v>129</v>
      </c>
      <c r="Y165" s="147"/>
    </row>
    <row r="166" spans="1:25" s="18" customFormat="1" ht="12.75">
      <c r="A166" s="161" t="s">
        <v>436</v>
      </c>
      <c r="B166" s="152">
        <v>42901</v>
      </c>
      <c r="C166" s="164" t="s">
        <v>437</v>
      </c>
      <c r="D166" s="165">
        <v>28.25</v>
      </c>
      <c r="K166" s="152">
        <v>42908</v>
      </c>
      <c r="L166" s="145"/>
      <c r="M166" s="152">
        <f t="shared" si="35"/>
        <v>42909</v>
      </c>
      <c r="N166" s="152">
        <v>42909</v>
      </c>
      <c r="O166" s="148">
        <f t="shared" si="36"/>
        <v>1</v>
      </c>
      <c r="P166" s="148">
        <f t="shared" si="28"/>
        <v>0</v>
      </c>
      <c r="Q166" s="148">
        <f t="shared" si="29"/>
        <v>1</v>
      </c>
      <c r="R166" s="148">
        <f t="shared" si="30"/>
        <v>-29</v>
      </c>
      <c r="S166" s="143">
        <v>29</v>
      </c>
      <c r="T166" s="147">
        <f t="shared" si="31"/>
        <v>0</v>
      </c>
      <c r="U166" s="147">
        <f t="shared" si="32"/>
        <v>-819.25</v>
      </c>
      <c r="V166" s="143">
        <f t="shared" si="33"/>
        <v>129</v>
      </c>
      <c r="Y166" s="147"/>
    </row>
    <row r="167" spans="1:25" s="18" customFormat="1" ht="12.75">
      <c r="A167" s="161" t="s">
        <v>438</v>
      </c>
      <c r="B167" s="152">
        <v>42901</v>
      </c>
      <c r="C167" s="164" t="s">
        <v>439</v>
      </c>
      <c r="D167" s="165">
        <v>36.17</v>
      </c>
      <c r="K167" s="152">
        <v>42908</v>
      </c>
      <c r="L167" s="145"/>
      <c r="M167" s="152">
        <f t="shared" si="35"/>
        <v>42909</v>
      </c>
      <c r="N167" s="152">
        <v>42909</v>
      </c>
      <c r="O167" s="148">
        <f t="shared" si="36"/>
        <v>1</v>
      </c>
      <c r="P167" s="148">
        <f t="shared" si="28"/>
        <v>0</v>
      </c>
      <c r="Q167" s="148">
        <f t="shared" si="29"/>
        <v>1</v>
      </c>
      <c r="R167" s="148">
        <f t="shared" si="30"/>
        <v>-29</v>
      </c>
      <c r="S167" s="143">
        <v>29</v>
      </c>
      <c r="T167" s="147">
        <f t="shared" si="31"/>
        <v>0</v>
      </c>
      <c r="U167" s="147">
        <f t="shared" si="32"/>
        <v>-1048.93</v>
      </c>
      <c r="V167" s="143">
        <f t="shared" si="33"/>
        <v>129</v>
      </c>
      <c r="Y167" s="147"/>
    </row>
    <row r="168" spans="1:25" s="18" customFormat="1" ht="12.75">
      <c r="A168" s="161" t="s">
        <v>440</v>
      </c>
      <c r="B168" s="152">
        <v>42901</v>
      </c>
      <c r="C168" s="164" t="s">
        <v>441</v>
      </c>
      <c r="D168" s="165">
        <v>14.04</v>
      </c>
      <c r="K168" s="152">
        <v>42908</v>
      </c>
      <c r="L168" s="145"/>
      <c r="M168" s="152">
        <f t="shared" si="35"/>
        <v>42909</v>
      </c>
      <c r="N168" s="152">
        <v>42909</v>
      </c>
      <c r="O168" s="148">
        <f t="shared" si="36"/>
        <v>1</v>
      </c>
      <c r="P168" s="148">
        <f t="shared" si="28"/>
        <v>0</v>
      </c>
      <c r="Q168" s="148">
        <f t="shared" si="29"/>
        <v>1</v>
      </c>
      <c r="R168" s="148">
        <f t="shared" si="30"/>
        <v>-29</v>
      </c>
      <c r="S168" s="143">
        <v>29</v>
      </c>
      <c r="T168" s="147">
        <f t="shared" si="31"/>
        <v>0</v>
      </c>
      <c r="U168" s="147">
        <f t="shared" si="32"/>
        <v>-407.15999999999997</v>
      </c>
      <c r="V168" s="143">
        <f t="shared" si="33"/>
        <v>129</v>
      </c>
      <c r="Y168" s="147"/>
    </row>
    <row r="169" spans="1:25" s="18" customFormat="1" ht="12.75">
      <c r="A169" s="161" t="s">
        <v>442</v>
      </c>
      <c r="B169" s="152">
        <v>42901</v>
      </c>
      <c r="C169" s="164" t="s">
        <v>443</v>
      </c>
      <c r="D169" s="165">
        <v>17.34</v>
      </c>
      <c r="K169" s="152">
        <v>42908</v>
      </c>
      <c r="L169" s="145"/>
      <c r="M169" s="152">
        <f t="shared" si="35"/>
        <v>42909</v>
      </c>
      <c r="N169" s="152">
        <v>42909</v>
      </c>
      <c r="O169" s="148">
        <f t="shared" si="36"/>
        <v>1</v>
      </c>
      <c r="P169" s="148">
        <f t="shared" si="28"/>
        <v>0</v>
      </c>
      <c r="Q169" s="148">
        <f t="shared" si="29"/>
        <v>1</v>
      </c>
      <c r="R169" s="148">
        <f t="shared" si="30"/>
        <v>-29</v>
      </c>
      <c r="S169" s="143">
        <v>29</v>
      </c>
      <c r="T169" s="147">
        <f t="shared" si="31"/>
        <v>0</v>
      </c>
      <c r="U169" s="147">
        <f t="shared" si="32"/>
        <v>-502.86</v>
      </c>
      <c r="V169" s="143">
        <f t="shared" si="33"/>
        <v>129</v>
      </c>
      <c r="Y169" s="147"/>
    </row>
    <row r="170" spans="1:25" s="18" customFormat="1" ht="12.75">
      <c r="A170" s="161" t="s">
        <v>444</v>
      </c>
      <c r="B170" s="152">
        <v>42900</v>
      </c>
      <c r="C170" s="164" t="s">
        <v>445</v>
      </c>
      <c r="D170" s="165">
        <v>494.1</v>
      </c>
      <c r="K170" s="152">
        <f>M170</f>
        <v>42902</v>
      </c>
      <c r="L170" s="145"/>
      <c r="M170" s="152">
        <f t="shared" si="35"/>
        <v>42902</v>
      </c>
      <c r="N170" s="152">
        <v>42902</v>
      </c>
      <c r="O170" s="148">
        <f t="shared" si="36"/>
        <v>0</v>
      </c>
      <c r="P170" s="148">
        <f t="shared" si="28"/>
        <v>0</v>
      </c>
      <c r="Q170" s="148">
        <f t="shared" si="29"/>
        <v>0</v>
      </c>
      <c r="R170" s="148">
        <f t="shared" si="30"/>
        <v>-30</v>
      </c>
      <c r="S170" s="143">
        <v>29</v>
      </c>
      <c r="T170" s="147">
        <f t="shared" si="31"/>
        <v>0</v>
      </c>
      <c r="U170" s="147">
        <f t="shared" si="32"/>
        <v>-14823</v>
      </c>
      <c r="V170" s="143">
        <f t="shared" si="33"/>
        <v>129</v>
      </c>
      <c r="Y170" s="147"/>
    </row>
    <row r="171" spans="1:25" s="18" customFormat="1" ht="12.75">
      <c r="A171" s="161" t="s">
        <v>446</v>
      </c>
      <c r="B171" s="152">
        <v>42887</v>
      </c>
      <c r="C171" s="164" t="s">
        <v>447</v>
      </c>
      <c r="D171" s="165">
        <v>510.17</v>
      </c>
      <c r="K171" s="152">
        <f>M171</f>
        <v>42887</v>
      </c>
      <c r="L171" s="145"/>
      <c r="M171" s="152">
        <f t="shared" si="35"/>
        <v>42887</v>
      </c>
      <c r="N171" s="152">
        <v>42887</v>
      </c>
      <c r="O171" s="148">
        <f t="shared" si="36"/>
        <v>0</v>
      </c>
      <c r="P171" s="148">
        <f t="shared" si="28"/>
        <v>0</v>
      </c>
      <c r="Q171" s="148">
        <f t="shared" si="29"/>
        <v>0</v>
      </c>
      <c r="R171" s="148">
        <f t="shared" si="30"/>
        <v>-30</v>
      </c>
      <c r="S171" s="143">
        <v>29</v>
      </c>
      <c r="T171" s="147">
        <f t="shared" si="31"/>
        <v>0</v>
      </c>
      <c r="U171" s="147">
        <f t="shared" si="32"/>
        <v>-15305.1</v>
      </c>
      <c r="V171" s="143">
        <f t="shared" si="33"/>
        <v>129</v>
      </c>
      <c r="Y171" s="147"/>
    </row>
    <row r="172" spans="1:25" s="18" customFormat="1" ht="12.75">
      <c r="A172" s="161" t="s">
        <v>448</v>
      </c>
      <c r="B172" s="152">
        <v>42905</v>
      </c>
      <c r="C172" s="164" t="s">
        <v>449</v>
      </c>
      <c r="D172" s="165">
        <v>58.4</v>
      </c>
      <c r="K172" s="152">
        <f>M172</f>
        <v>42905</v>
      </c>
      <c r="L172" s="145"/>
      <c r="M172" s="152">
        <f t="shared" si="35"/>
        <v>42905</v>
      </c>
      <c r="N172" s="152">
        <v>42905</v>
      </c>
      <c r="O172" s="148">
        <f t="shared" si="36"/>
        <v>0</v>
      </c>
      <c r="P172" s="148">
        <f t="shared" si="28"/>
        <v>0</v>
      </c>
      <c r="Q172" s="148">
        <f t="shared" si="29"/>
        <v>0</v>
      </c>
      <c r="R172" s="148">
        <f t="shared" si="30"/>
        <v>-30</v>
      </c>
      <c r="S172" s="143">
        <v>29</v>
      </c>
      <c r="T172" s="147">
        <f t="shared" si="31"/>
        <v>0</v>
      </c>
      <c r="U172" s="147">
        <f t="shared" si="32"/>
        <v>-1752</v>
      </c>
      <c r="V172" s="143">
        <f t="shared" si="33"/>
        <v>129</v>
      </c>
      <c r="Y172" s="147"/>
    </row>
    <row r="173" spans="1:25" s="18" customFormat="1" ht="12.75">
      <c r="A173" s="161" t="s">
        <v>450</v>
      </c>
      <c r="B173" s="152">
        <v>42873</v>
      </c>
      <c r="C173" s="164" t="s">
        <v>451</v>
      </c>
      <c r="D173" s="165">
        <v>126</v>
      </c>
      <c r="K173" s="152">
        <v>42912</v>
      </c>
      <c r="L173" s="145"/>
      <c r="M173" s="152">
        <f t="shared" si="35"/>
        <v>42916</v>
      </c>
      <c r="N173" s="152">
        <v>42916</v>
      </c>
      <c r="O173" s="148">
        <f t="shared" si="36"/>
        <v>4</v>
      </c>
      <c r="P173" s="148">
        <f t="shared" si="28"/>
        <v>0</v>
      </c>
      <c r="Q173" s="148">
        <f t="shared" si="29"/>
        <v>4</v>
      </c>
      <c r="R173" s="148">
        <f t="shared" si="30"/>
        <v>-26</v>
      </c>
      <c r="S173" s="143">
        <v>29</v>
      </c>
      <c r="T173" s="147">
        <f t="shared" si="31"/>
        <v>0</v>
      </c>
      <c r="U173" s="147">
        <f t="shared" si="32"/>
        <v>-3276</v>
      </c>
      <c r="V173" s="143">
        <f t="shared" si="33"/>
        <v>129</v>
      </c>
      <c r="Y173" s="147"/>
    </row>
    <row r="174" spans="1:25" s="18" customFormat="1" ht="12.75">
      <c r="A174" s="161" t="s">
        <v>452</v>
      </c>
      <c r="B174" s="152">
        <v>42886</v>
      </c>
      <c r="C174" s="164" t="s">
        <v>453</v>
      </c>
      <c r="D174" s="165">
        <v>63.53</v>
      </c>
      <c r="K174" s="152">
        <v>42912</v>
      </c>
      <c r="L174" s="145"/>
      <c r="M174" s="152">
        <f t="shared" si="35"/>
        <v>42916</v>
      </c>
      <c r="N174" s="152">
        <v>42916</v>
      </c>
      <c r="O174" s="148">
        <f t="shared" si="36"/>
        <v>4</v>
      </c>
      <c r="P174" s="148">
        <f t="shared" si="28"/>
        <v>0</v>
      </c>
      <c r="Q174" s="148">
        <f t="shared" si="29"/>
        <v>4</v>
      </c>
      <c r="R174" s="148">
        <f t="shared" si="30"/>
        <v>-26</v>
      </c>
      <c r="S174" s="143">
        <v>22</v>
      </c>
      <c r="T174" s="147">
        <f t="shared" si="31"/>
        <v>0</v>
      </c>
      <c r="U174" s="147">
        <f t="shared" si="32"/>
        <v>-1651.78</v>
      </c>
      <c r="V174" s="143">
        <f t="shared" si="33"/>
        <v>122</v>
      </c>
      <c r="Y174" s="147"/>
    </row>
    <row r="175" spans="1:25" s="18" customFormat="1" ht="12.75">
      <c r="A175" s="161" t="s">
        <v>454</v>
      </c>
      <c r="B175" s="152">
        <v>42899</v>
      </c>
      <c r="C175" s="164" t="s">
        <v>455</v>
      </c>
      <c r="D175" s="165">
        <v>222.68</v>
      </c>
      <c r="K175" s="152">
        <f>M175</f>
        <v>42901</v>
      </c>
      <c r="L175" s="145"/>
      <c r="M175" s="152">
        <f t="shared" si="35"/>
        <v>42901</v>
      </c>
      <c r="N175" s="152">
        <v>42901</v>
      </c>
      <c r="O175" s="148">
        <f t="shared" si="36"/>
        <v>0</v>
      </c>
      <c r="P175" s="148">
        <f t="shared" si="28"/>
        <v>0</v>
      </c>
      <c r="Q175" s="148">
        <f t="shared" si="29"/>
        <v>0</v>
      </c>
      <c r="R175" s="148">
        <f t="shared" si="30"/>
        <v>-30</v>
      </c>
      <c r="S175" s="143">
        <v>29</v>
      </c>
      <c r="T175" s="147">
        <f t="shared" si="31"/>
        <v>0</v>
      </c>
      <c r="U175" s="147">
        <f t="shared" si="32"/>
        <v>-6680.400000000001</v>
      </c>
      <c r="V175" s="143">
        <f t="shared" si="33"/>
        <v>129</v>
      </c>
      <c r="Y175" s="147"/>
    </row>
    <row r="176" spans="1:25" s="18" customFormat="1" ht="12.75">
      <c r="A176" s="161" t="s">
        <v>456</v>
      </c>
      <c r="B176" s="152">
        <v>42901</v>
      </c>
      <c r="C176" s="164" t="s">
        <v>457</v>
      </c>
      <c r="D176" s="165">
        <v>346.06</v>
      </c>
      <c r="K176" s="152">
        <v>42912</v>
      </c>
      <c r="L176" s="145"/>
      <c r="M176" s="152">
        <f t="shared" si="35"/>
        <v>42916</v>
      </c>
      <c r="N176" s="152">
        <v>42916</v>
      </c>
      <c r="O176" s="148">
        <f t="shared" si="36"/>
        <v>4</v>
      </c>
      <c r="P176" s="148">
        <f t="shared" si="28"/>
        <v>0</v>
      </c>
      <c r="Q176" s="148">
        <f t="shared" si="29"/>
        <v>4</v>
      </c>
      <c r="R176" s="148">
        <f t="shared" si="30"/>
        <v>-26</v>
      </c>
      <c r="S176" s="143">
        <v>21</v>
      </c>
      <c r="T176" s="147">
        <f t="shared" si="31"/>
        <v>0</v>
      </c>
      <c r="U176" s="147">
        <f t="shared" si="32"/>
        <v>-8997.56</v>
      </c>
      <c r="V176" s="143">
        <f t="shared" si="33"/>
        <v>121</v>
      </c>
      <c r="Y176" s="147"/>
    </row>
    <row r="177" spans="1:25" s="18" customFormat="1" ht="12.75">
      <c r="A177" s="161" t="s">
        <v>458</v>
      </c>
      <c r="B177" s="152">
        <v>42912</v>
      </c>
      <c r="C177" s="164" t="s">
        <v>459</v>
      </c>
      <c r="D177" s="165">
        <v>951.67</v>
      </c>
      <c r="K177" s="152">
        <v>42913</v>
      </c>
      <c r="L177" s="145"/>
      <c r="M177" s="152">
        <f t="shared" si="35"/>
        <v>42914</v>
      </c>
      <c r="N177" s="152">
        <v>42914</v>
      </c>
      <c r="O177" s="148">
        <f t="shared" si="36"/>
        <v>1</v>
      </c>
      <c r="P177" s="148">
        <f t="shared" si="28"/>
        <v>0</v>
      </c>
      <c r="Q177" s="148">
        <f t="shared" si="29"/>
        <v>1</v>
      </c>
      <c r="R177" s="148">
        <f t="shared" si="30"/>
        <v>-29</v>
      </c>
      <c r="S177" s="143">
        <v>29</v>
      </c>
      <c r="T177" s="147">
        <f t="shared" si="31"/>
        <v>0</v>
      </c>
      <c r="U177" s="147">
        <f t="shared" si="32"/>
        <v>-27598.43</v>
      </c>
      <c r="V177" s="143">
        <f t="shared" si="33"/>
        <v>129</v>
      </c>
      <c r="Y177" s="147"/>
    </row>
    <row r="178" spans="1:25" s="18" customFormat="1" ht="12.75">
      <c r="A178" s="161" t="s">
        <v>460</v>
      </c>
      <c r="B178" s="152">
        <v>42886</v>
      </c>
      <c r="C178" s="164" t="s">
        <v>461</v>
      </c>
      <c r="D178" s="165">
        <v>20.56</v>
      </c>
      <c r="K178" s="152">
        <v>42914</v>
      </c>
      <c r="L178" s="145"/>
      <c r="M178" s="152">
        <f t="shared" si="35"/>
        <v>42916</v>
      </c>
      <c r="N178" s="152">
        <v>42916</v>
      </c>
      <c r="O178" s="148">
        <f t="shared" si="36"/>
        <v>2</v>
      </c>
      <c r="P178" s="148">
        <f t="shared" si="28"/>
        <v>0</v>
      </c>
      <c r="Q178" s="148">
        <f t="shared" si="29"/>
        <v>2</v>
      </c>
      <c r="R178" s="148">
        <f t="shared" si="30"/>
        <v>-28</v>
      </c>
      <c r="S178" s="143">
        <v>22</v>
      </c>
      <c r="T178" s="147">
        <f t="shared" si="31"/>
        <v>0</v>
      </c>
      <c r="U178" s="147">
        <f t="shared" si="32"/>
        <v>-575.68</v>
      </c>
      <c r="V178" s="143">
        <f t="shared" si="33"/>
        <v>122</v>
      </c>
      <c r="Y178" s="147"/>
    </row>
    <row r="179" spans="1:25" s="18" customFormat="1" ht="12.75">
      <c r="A179" s="161" t="s">
        <v>462</v>
      </c>
      <c r="B179" s="152">
        <v>42901</v>
      </c>
      <c r="C179" s="164" t="s">
        <v>463</v>
      </c>
      <c r="D179" s="165">
        <v>114.88</v>
      </c>
      <c r="K179" s="152">
        <f aca="true" t="shared" si="37" ref="K179:K189">M179</f>
        <v>42902</v>
      </c>
      <c r="L179" s="145"/>
      <c r="M179" s="152">
        <f t="shared" si="35"/>
        <v>42902</v>
      </c>
      <c r="N179" s="152">
        <v>42902</v>
      </c>
      <c r="O179" s="148">
        <f t="shared" si="36"/>
        <v>0</v>
      </c>
      <c r="P179" s="148">
        <f t="shared" si="28"/>
        <v>0</v>
      </c>
      <c r="Q179" s="148">
        <f t="shared" si="29"/>
        <v>0</v>
      </c>
      <c r="R179" s="148">
        <f t="shared" si="30"/>
        <v>-30</v>
      </c>
      <c r="S179" s="143">
        <v>29</v>
      </c>
      <c r="T179" s="147">
        <f t="shared" si="31"/>
        <v>0</v>
      </c>
      <c r="U179" s="147">
        <f t="shared" si="32"/>
        <v>-3446.3999999999996</v>
      </c>
      <c r="V179" s="143">
        <f t="shared" si="33"/>
        <v>129</v>
      </c>
      <c r="Y179" s="147"/>
    </row>
    <row r="180" spans="1:25" s="18" customFormat="1" ht="12.75">
      <c r="A180" s="161" t="s">
        <v>464</v>
      </c>
      <c r="B180" s="152">
        <v>42886</v>
      </c>
      <c r="C180" s="164" t="s">
        <v>465</v>
      </c>
      <c r="D180" s="165">
        <v>108.49</v>
      </c>
      <c r="K180" s="152">
        <f t="shared" si="37"/>
        <v>42885</v>
      </c>
      <c r="L180" s="145"/>
      <c r="M180" s="152">
        <f t="shared" si="35"/>
        <v>42885</v>
      </c>
      <c r="N180" s="152">
        <v>42885</v>
      </c>
      <c r="O180" s="148">
        <f t="shared" si="36"/>
        <v>0</v>
      </c>
      <c r="P180" s="148">
        <f t="shared" si="28"/>
        <v>0</v>
      </c>
      <c r="Q180" s="148">
        <f t="shared" si="29"/>
        <v>0</v>
      </c>
      <c r="R180" s="148">
        <f t="shared" si="30"/>
        <v>-30</v>
      </c>
      <c r="S180" s="143">
        <v>69</v>
      </c>
      <c r="T180" s="147">
        <f t="shared" si="31"/>
        <v>0</v>
      </c>
      <c r="U180" s="147">
        <f t="shared" si="32"/>
        <v>-3254.7</v>
      </c>
      <c r="V180" s="143">
        <f t="shared" si="33"/>
        <v>169</v>
      </c>
      <c r="Y180" s="147"/>
    </row>
    <row r="181" spans="1:25" s="18" customFormat="1" ht="12.75">
      <c r="A181" s="161" t="s">
        <v>466</v>
      </c>
      <c r="B181" s="152">
        <v>42900</v>
      </c>
      <c r="C181" s="164" t="s">
        <v>467</v>
      </c>
      <c r="D181" s="165">
        <v>44.71</v>
      </c>
      <c r="K181" s="152">
        <f t="shared" si="37"/>
        <v>42902</v>
      </c>
      <c r="L181" s="145"/>
      <c r="M181" s="152">
        <f t="shared" si="35"/>
        <v>42902</v>
      </c>
      <c r="N181" s="152">
        <v>42902</v>
      </c>
      <c r="O181" s="148">
        <f t="shared" si="36"/>
        <v>0</v>
      </c>
      <c r="P181" s="148">
        <f aca="true" t="shared" si="38" ref="P181:P205">+N181-M181</f>
        <v>0</v>
      </c>
      <c r="Q181" s="148">
        <f aca="true" t="shared" si="39" ref="Q181:Q205">+N181-K181</f>
        <v>0</v>
      </c>
      <c r="R181" s="148">
        <f aca="true" t="shared" si="40" ref="R181:R205">+Q181-30</f>
        <v>-30</v>
      </c>
      <c r="S181" s="143">
        <v>21</v>
      </c>
      <c r="T181" s="147">
        <f aca="true" t="shared" si="41" ref="T181:T205">+P181*D181</f>
        <v>0</v>
      </c>
      <c r="U181" s="147">
        <f t="shared" si="32"/>
        <v>-1341.3</v>
      </c>
      <c r="V181" s="143">
        <f t="shared" si="33"/>
        <v>121</v>
      </c>
      <c r="Y181" s="147"/>
    </row>
    <row r="182" spans="1:25" s="18" customFormat="1" ht="12.75">
      <c r="A182" s="161" t="s">
        <v>468</v>
      </c>
      <c r="B182" s="152">
        <v>42906</v>
      </c>
      <c r="C182" s="164" t="s">
        <v>469</v>
      </c>
      <c r="D182" s="165">
        <v>16.94</v>
      </c>
      <c r="K182" s="152">
        <f t="shared" si="37"/>
        <v>42908</v>
      </c>
      <c r="L182" s="145"/>
      <c r="M182" s="152">
        <f t="shared" si="35"/>
        <v>42908</v>
      </c>
      <c r="N182" s="152">
        <v>42908</v>
      </c>
      <c r="O182" s="148">
        <f t="shared" si="36"/>
        <v>0</v>
      </c>
      <c r="P182" s="148">
        <f t="shared" si="38"/>
        <v>0</v>
      </c>
      <c r="Q182" s="148">
        <f t="shared" si="39"/>
        <v>0</v>
      </c>
      <c r="R182" s="148">
        <f t="shared" si="40"/>
        <v>-30</v>
      </c>
      <c r="S182" s="143">
        <v>21</v>
      </c>
      <c r="T182" s="147">
        <f t="shared" si="41"/>
        <v>0</v>
      </c>
      <c r="U182" s="147">
        <f t="shared" si="32"/>
        <v>-508.20000000000005</v>
      </c>
      <c r="V182" s="143">
        <f t="shared" si="33"/>
        <v>121</v>
      </c>
      <c r="Y182" s="147"/>
    </row>
    <row r="183" spans="1:25" s="18" customFormat="1" ht="12.75">
      <c r="A183" s="161" t="s">
        <v>470</v>
      </c>
      <c r="B183" s="152">
        <v>42916</v>
      </c>
      <c r="C183" s="164" t="s">
        <v>471</v>
      </c>
      <c r="D183" s="165">
        <v>1668.35</v>
      </c>
      <c r="K183" s="152">
        <f t="shared" si="37"/>
        <v>42916</v>
      </c>
      <c r="L183" s="145"/>
      <c r="M183" s="152">
        <f t="shared" si="35"/>
        <v>42916</v>
      </c>
      <c r="N183" s="152">
        <v>42916</v>
      </c>
      <c r="O183" s="148">
        <f t="shared" si="36"/>
        <v>0</v>
      </c>
      <c r="P183" s="148">
        <f t="shared" si="38"/>
        <v>0</v>
      </c>
      <c r="Q183" s="148">
        <f t="shared" si="39"/>
        <v>0</v>
      </c>
      <c r="R183" s="148">
        <f t="shared" si="40"/>
        <v>-30</v>
      </c>
      <c r="S183" s="143">
        <v>29</v>
      </c>
      <c r="T183" s="147">
        <f t="shared" si="41"/>
        <v>0</v>
      </c>
      <c r="U183" s="147">
        <f t="shared" si="32"/>
        <v>-50050.5</v>
      </c>
      <c r="V183" s="143">
        <f t="shared" si="33"/>
        <v>129</v>
      </c>
      <c r="Y183" s="147"/>
    </row>
    <row r="184" spans="1:25" s="18" customFormat="1" ht="12.75">
      <c r="A184" s="161" t="s">
        <v>472</v>
      </c>
      <c r="B184" s="152">
        <v>42885</v>
      </c>
      <c r="C184" s="164" t="s">
        <v>473</v>
      </c>
      <c r="D184" s="165">
        <v>1441.4</v>
      </c>
      <c r="K184" s="152">
        <f t="shared" si="37"/>
        <v>42916</v>
      </c>
      <c r="L184" s="145"/>
      <c r="M184" s="152">
        <f t="shared" si="35"/>
        <v>42916</v>
      </c>
      <c r="N184" s="152">
        <v>42916</v>
      </c>
      <c r="O184" s="148">
        <f t="shared" si="36"/>
        <v>0</v>
      </c>
      <c r="P184" s="148">
        <f t="shared" si="38"/>
        <v>0</v>
      </c>
      <c r="Q184" s="148">
        <f t="shared" si="39"/>
        <v>0</v>
      </c>
      <c r="R184" s="148">
        <f t="shared" si="40"/>
        <v>-30</v>
      </c>
      <c r="S184" s="143">
        <v>21</v>
      </c>
      <c r="T184" s="147">
        <f t="shared" si="41"/>
        <v>0</v>
      </c>
      <c r="U184" s="147">
        <f t="shared" si="32"/>
        <v>-43242</v>
      </c>
      <c r="V184" s="143">
        <f t="shared" si="33"/>
        <v>121</v>
      </c>
      <c r="Y184" s="147"/>
    </row>
    <row r="185" spans="1:25" s="18" customFormat="1" ht="12.75">
      <c r="A185" s="161" t="s">
        <v>474</v>
      </c>
      <c r="B185" s="152">
        <v>42894</v>
      </c>
      <c r="C185" s="164" t="s">
        <v>475</v>
      </c>
      <c r="D185" s="165">
        <v>60.48</v>
      </c>
      <c r="K185" s="152">
        <f t="shared" si="37"/>
        <v>42894</v>
      </c>
      <c r="L185" s="145"/>
      <c r="M185" s="152">
        <f t="shared" si="35"/>
        <v>42894</v>
      </c>
      <c r="N185" s="152">
        <v>42894</v>
      </c>
      <c r="O185" s="148">
        <f t="shared" si="36"/>
        <v>0</v>
      </c>
      <c r="P185" s="148">
        <f t="shared" si="38"/>
        <v>0</v>
      </c>
      <c r="Q185" s="148">
        <f t="shared" si="39"/>
        <v>0</v>
      </c>
      <c r="R185" s="148">
        <f t="shared" si="40"/>
        <v>-30</v>
      </c>
      <c r="S185" s="143">
        <v>21</v>
      </c>
      <c r="T185" s="147">
        <f t="shared" si="41"/>
        <v>0</v>
      </c>
      <c r="U185" s="147">
        <f t="shared" si="32"/>
        <v>-1814.3999999999999</v>
      </c>
      <c r="V185" s="143">
        <f t="shared" si="33"/>
        <v>121</v>
      </c>
      <c r="Y185" s="147"/>
    </row>
    <row r="186" spans="1:25" s="18" customFormat="1" ht="12.75">
      <c r="A186" s="161" t="s">
        <v>476</v>
      </c>
      <c r="B186" s="152">
        <v>42900</v>
      </c>
      <c r="C186" s="164" t="s">
        <v>477</v>
      </c>
      <c r="D186" s="165">
        <v>30.4</v>
      </c>
      <c r="K186" s="152">
        <f t="shared" si="37"/>
        <v>42900</v>
      </c>
      <c r="L186" s="145"/>
      <c r="M186" s="152">
        <f t="shared" si="35"/>
        <v>42900</v>
      </c>
      <c r="N186" s="152">
        <v>42900</v>
      </c>
      <c r="O186" s="148">
        <f t="shared" si="36"/>
        <v>0</v>
      </c>
      <c r="P186" s="148">
        <f t="shared" si="38"/>
        <v>0</v>
      </c>
      <c r="Q186" s="148">
        <f t="shared" si="39"/>
        <v>0</v>
      </c>
      <c r="R186" s="148">
        <f t="shared" si="40"/>
        <v>-30</v>
      </c>
      <c r="S186" s="143">
        <v>21</v>
      </c>
      <c r="T186" s="147">
        <f t="shared" si="41"/>
        <v>0</v>
      </c>
      <c r="U186" s="147">
        <f t="shared" si="32"/>
        <v>-912</v>
      </c>
      <c r="V186" s="143">
        <f t="shared" si="33"/>
        <v>121</v>
      </c>
      <c r="Y186" s="147"/>
    </row>
    <row r="187" spans="1:25" s="18" customFormat="1" ht="12.75">
      <c r="A187" s="161" t="s">
        <v>478</v>
      </c>
      <c r="B187" s="152">
        <v>42906</v>
      </c>
      <c r="C187" s="164" t="s">
        <v>479</v>
      </c>
      <c r="D187" s="165">
        <v>8.25</v>
      </c>
      <c r="K187" s="152">
        <f t="shared" si="37"/>
        <v>42906</v>
      </c>
      <c r="L187" s="145"/>
      <c r="M187" s="152">
        <f t="shared" si="35"/>
        <v>42906</v>
      </c>
      <c r="N187" s="152">
        <v>42906</v>
      </c>
      <c r="O187" s="148">
        <f t="shared" si="36"/>
        <v>0</v>
      </c>
      <c r="P187" s="148">
        <f t="shared" si="38"/>
        <v>0</v>
      </c>
      <c r="Q187" s="148">
        <f t="shared" si="39"/>
        <v>0</v>
      </c>
      <c r="R187" s="148">
        <f t="shared" si="40"/>
        <v>-30</v>
      </c>
      <c r="S187" s="143">
        <v>21</v>
      </c>
      <c r="T187" s="147">
        <f t="shared" si="41"/>
        <v>0</v>
      </c>
      <c r="U187" s="147">
        <f t="shared" si="32"/>
        <v>-247.5</v>
      </c>
      <c r="V187" s="143">
        <f t="shared" si="33"/>
        <v>121</v>
      </c>
      <c r="Y187" s="147"/>
    </row>
    <row r="188" spans="1:25" s="18" customFormat="1" ht="12.75">
      <c r="A188" s="161" t="s">
        <v>480</v>
      </c>
      <c r="B188" s="152">
        <v>42907</v>
      </c>
      <c r="C188" s="164" t="s">
        <v>481</v>
      </c>
      <c r="D188" s="165">
        <v>39.9</v>
      </c>
      <c r="K188" s="152">
        <f t="shared" si="37"/>
        <v>42907</v>
      </c>
      <c r="L188" s="145"/>
      <c r="M188" s="152">
        <f t="shared" si="35"/>
        <v>42907</v>
      </c>
      <c r="N188" s="152">
        <v>42907</v>
      </c>
      <c r="O188" s="148">
        <f t="shared" si="36"/>
        <v>0</v>
      </c>
      <c r="P188" s="148">
        <f t="shared" si="38"/>
        <v>0</v>
      </c>
      <c r="Q188" s="148">
        <f t="shared" si="39"/>
        <v>0</v>
      </c>
      <c r="R188" s="148">
        <f t="shared" si="40"/>
        <v>-30</v>
      </c>
      <c r="S188" s="143">
        <v>29</v>
      </c>
      <c r="T188" s="147">
        <f t="shared" si="41"/>
        <v>0</v>
      </c>
      <c r="U188" s="147">
        <f t="shared" si="32"/>
        <v>-1197</v>
      </c>
      <c r="V188" s="143">
        <f t="shared" si="33"/>
        <v>129</v>
      </c>
      <c r="Y188" s="147"/>
    </row>
    <row r="189" spans="1:25" s="18" customFormat="1" ht="12.75">
      <c r="A189" s="161" t="s">
        <v>482</v>
      </c>
      <c r="B189" s="152">
        <v>42908</v>
      </c>
      <c r="C189" s="164" t="s">
        <v>483</v>
      </c>
      <c r="D189" s="165">
        <v>39.9</v>
      </c>
      <c r="K189" s="152">
        <f t="shared" si="37"/>
        <v>42908</v>
      </c>
      <c r="L189" s="145"/>
      <c r="M189" s="152">
        <f t="shared" si="35"/>
        <v>42908</v>
      </c>
      <c r="N189" s="152">
        <v>42908</v>
      </c>
      <c r="O189" s="148">
        <f t="shared" si="36"/>
        <v>0</v>
      </c>
      <c r="P189" s="148">
        <f t="shared" si="38"/>
        <v>0</v>
      </c>
      <c r="Q189" s="148">
        <f t="shared" si="39"/>
        <v>0</v>
      </c>
      <c r="R189" s="148">
        <f t="shared" si="40"/>
        <v>-30</v>
      </c>
      <c r="S189" s="143">
        <v>29</v>
      </c>
      <c r="T189" s="147">
        <f t="shared" si="41"/>
        <v>0</v>
      </c>
      <c r="U189" s="147">
        <f t="shared" si="32"/>
        <v>-1197</v>
      </c>
      <c r="V189" s="143">
        <f t="shared" si="33"/>
        <v>129</v>
      </c>
      <c r="Y189" s="147"/>
    </row>
    <row r="190" spans="1:25" s="18" customFormat="1" ht="12.75">
      <c r="A190" s="161" t="s">
        <v>484</v>
      </c>
      <c r="B190" s="152">
        <v>42909</v>
      </c>
      <c r="C190" s="164" t="s">
        <v>485</v>
      </c>
      <c r="D190" s="165">
        <v>49.9</v>
      </c>
      <c r="K190" s="152">
        <f aca="true" t="shared" si="42" ref="K190:K205">M190</f>
        <v>42909</v>
      </c>
      <c r="L190" s="145"/>
      <c r="M190" s="152">
        <f t="shared" si="35"/>
        <v>42909</v>
      </c>
      <c r="N190" s="152">
        <v>42909</v>
      </c>
      <c r="O190" s="148">
        <f t="shared" si="36"/>
        <v>0</v>
      </c>
      <c r="P190" s="148">
        <f t="shared" si="38"/>
        <v>0</v>
      </c>
      <c r="Q190" s="148">
        <f t="shared" si="39"/>
        <v>0</v>
      </c>
      <c r="R190" s="148">
        <f t="shared" si="40"/>
        <v>-30</v>
      </c>
      <c r="S190" s="18">
        <v>29</v>
      </c>
      <c r="T190" s="147">
        <f t="shared" si="41"/>
        <v>0</v>
      </c>
      <c r="U190" s="147">
        <f t="shared" si="32"/>
        <v>-1497</v>
      </c>
      <c r="V190" s="143">
        <f t="shared" si="33"/>
        <v>129</v>
      </c>
      <c r="Y190" s="147"/>
    </row>
    <row r="191" spans="1:25" s="18" customFormat="1" ht="12.75">
      <c r="A191" s="161" t="s">
        <v>486</v>
      </c>
      <c r="B191" s="152">
        <v>42900</v>
      </c>
      <c r="C191" s="164" t="s">
        <v>487</v>
      </c>
      <c r="D191" s="165">
        <v>33</v>
      </c>
      <c r="K191" s="152">
        <f t="shared" si="42"/>
        <v>42900</v>
      </c>
      <c r="L191" s="145"/>
      <c r="M191" s="152">
        <f t="shared" si="35"/>
        <v>42900</v>
      </c>
      <c r="N191" s="152">
        <v>42900</v>
      </c>
      <c r="O191" s="148">
        <f t="shared" si="36"/>
        <v>0</v>
      </c>
      <c r="P191" s="148">
        <f t="shared" si="38"/>
        <v>0</v>
      </c>
      <c r="Q191" s="148">
        <f t="shared" si="39"/>
        <v>0</v>
      </c>
      <c r="R191" s="148">
        <f t="shared" si="40"/>
        <v>-30</v>
      </c>
      <c r="S191" s="18">
        <v>21</v>
      </c>
      <c r="T191" s="147">
        <f t="shared" si="41"/>
        <v>0</v>
      </c>
      <c r="U191" s="147">
        <f t="shared" si="32"/>
        <v>-990</v>
      </c>
      <c r="V191" s="143">
        <f t="shared" si="33"/>
        <v>121</v>
      </c>
      <c r="Y191" s="147"/>
    </row>
    <row r="192" spans="1:25" s="18" customFormat="1" ht="12.75">
      <c r="A192" s="161" t="s">
        <v>488</v>
      </c>
      <c r="B192" s="152">
        <v>42899</v>
      </c>
      <c r="C192" s="164" t="s">
        <v>489</v>
      </c>
      <c r="D192" s="165">
        <v>56.55</v>
      </c>
      <c r="K192" s="152">
        <f t="shared" si="42"/>
        <v>42899</v>
      </c>
      <c r="L192" s="145"/>
      <c r="M192" s="152">
        <f t="shared" si="35"/>
        <v>42899</v>
      </c>
      <c r="N192" s="152">
        <v>42899</v>
      </c>
      <c r="O192" s="148">
        <f t="shared" si="36"/>
        <v>0</v>
      </c>
      <c r="P192" s="148">
        <f t="shared" si="38"/>
        <v>0</v>
      </c>
      <c r="Q192" s="148">
        <f t="shared" si="39"/>
        <v>0</v>
      </c>
      <c r="R192" s="148">
        <f t="shared" si="40"/>
        <v>-30</v>
      </c>
      <c r="S192" s="18">
        <v>21</v>
      </c>
      <c r="T192" s="147">
        <f t="shared" si="41"/>
        <v>0</v>
      </c>
      <c r="U192" s="147">
        <f t="shared" si="32"/>
        <v>-1696.5</v>
      </c>
      <c r="V192" s="143">
        <f t="shared" si="33"/>
        <v>121</v>
      </c>
      <c r="Y192" s="147"/>
    </row>
    <row r="193" spans="1:25" s="18" customFormat="1" ht="12.75">
      <c r="A193" s="161" t="s">
        <v>490</v>
      </c>
      <c r="B193" s="152">
        <v>42902</v>
      </c>
      <c r="C193" s="164" t="s">
        <v>491</v>
      </c>
      <c r="D193" s="165">
        <v>72.15</v>
      </c>
      <c r="K193" s="152">
        <f t="shared" si="42"/>
        <v>42902</v>
      </c>
      <c r="L193" s="145"/>
      <c r="M193" s="152">
        <f t="shared" si="35"/>
        <v>42902</v>
      </c>
      <c r="N193" s="152">
        <v>42902</v>
      </c>
      <c r="O193" s="148">
        <f t="shared" si="36"/>
        <v>0</v>
      </c>
      <c r="P193" s="148">
        <f t="shared" si="38"/>
        <v>0</v>
      </c>
      <c r="Q193" s="148">
        <f t="shared" si="39"/>
        <v>0</v>
      </c>
      <c r="R193" s="148">
        <f t="shared" si="40"/>
        <v>-30</v>
      </c>
      <c r="S193" s="18">
        <v>21</v>
      </c>
      <c r="T193" s="147">
        <f t="shared" si="41"/>
        <v>0</v>
      </c>
      <c r="U193" s="147">
        <f t="shared" si="32"/>
        <v>-2164.5</v>
      </c>
      <c r="V193" s="143">
        <f t="shared" si="33"/>
        <v>121</v>
      </c>
      <c r="Y193" s="147"/>
    </row>
    <row r="194" spans="1:25" s="18" customFormat="1" ht="12.75">
      <c r="A194" s="161" t="s">
        <v>492</v>
      </c>
      <c r="B194" s="152">
        <v>42886</v>
      </c>
      <c r="C194" s="164" t="s">
        <v>493</v>
      </c>
      <c r="D194" s="165">
        <v>1936</v>
      </c>
      <c r="K194" s="152">
        <f t="shared" si="42"/>
        <v>42916</v>
      </c>
      <c r="L194" s="145"/>
      <c r="M194" s="152">
        <f t="shared" si="35"/>
        <v>42916</v>
      </c>
      <c r="N194" s="152">
        <v>42916</v>
      </c>
      <c r="O194" s="148">
        <f t="shared" si="36"/>
        <v>0</v>
      </c>
      <c r="P194" s="148">
        <f t="shared" si="38"/>
        <v>0</v>
      </c>
      <c r="Q194" s="148">
        <f t="shared" si="39"/>
        <v>0</v>
      </c>
      <c r="R194" s="148">
        <f t="shared" si="40"/>
        <v>-30</v>
      </c>
      <c r="S194" s="18">
        <v>29</v>
      </c>
      <c r="T194" s="147">
        <f t="shared" si="41"/>
        <v>0</v>
      </c>
      <c r="U194" s="147">
        <f t="shared" si="32"/>
        <v>-58080</v>
      </c>
      <c r="V194" s="143">
        <f t="shared" si="33"/>
        <v>129</v>
      </c>
      <c r="Y194" s="147"/>
    </row>
    <row r="195" spans="1:25" s="18" customFormat="1" ht="12.75">
      <c r="A195" s="161" t="s">
        <v>494</v>
      </c>
      <c r="B195" s="152">
        <v>42909</v>
      </c>
      <c r="C195" s="164" t="s">
        <v>495</v>
      </c>
      <c r="D195" s="165">
        <v>300.62</v>
      </c>
      <c r="K195" s="152">
        <f t="shared" si="42"/>
        <v>42915</v>
      </c>
      <c r="L195" s="145"/>
      <c r="M195" s="152">
        <f t="shared" si="35"/>
        <v>42915</v>
      </c>
      <c r="N195" s="152">
        <v>42915</v>
      </c>
      <c r="O195" s="148">
        <f t="shared" si="36"/>
        <v>0</v>
      </c>
      <c r="P195" s="148">
        <f t="shared" si="38"/>
        <v>0</v>
      </c>
      <c r="Q195" s="148">
        <f t="shared" si="39"/>
        <v>0</v>
      </c>
      <c r="R195" s="148">
        <f t="shared" si="40"/>
        <v>-30</v>
      </c>
      <c r="S195" s="18">
        <v>29</v>
      </c>
      <c r="T195" s="147">
        <f t="shared" si="41"/>
        <v>0</v>
      </c>
      <c r="U195" s="147">
        <f t="shared" si="32"/>
        <v>-9018.6</v>
      </c>
      <c r="V195" s="143">
        <f t="shared" si="33"/>
        <v>129</v>
      </c>
      <c r="Y195" s="147"/>
    </row>
    <row r="196" spans="1:25" s="18" customFormat="1" ht="12.75">
      <c r="A196" s="161" t="s">
        <v>496</v>
      </c>
      <c r="B196" s="152">
        <v>42909</v>
      </c>
      <c r="C196" s="164" t="s">
        <v>497</v>
      </c>
      <c r="D196" s="165">
        <v>537.14</v>
      </c>
      <c r="K196" s="152">
        <f t="shared" si="42"/>
        <v>42915</v>
      </c>
      <c r="L196" s="145"/>
      <c r="M196" s="152">
        <f aca="true" t="shared" si="43" ref="M196:M205">+N196</f>
        <v>42915</v>
      </c>
      <c r="N196" s="152">
        <v>42915</v>
      </c>
      <c r="O196" s="148">
        <f t="shared" si="36"/>
        <v>0</v>
      </c>
      <c r="P196" s="148">
        <f t="shared" si="38"/>
        <v>0</v>
      </c>
      <c r="Q196" s="148">
        <f t="shared" si="39"/>
        <v>0</v>
      </c>
      <c r="R196" s="148">
        <f t="shared" si="40"/>
        <v>-30</v>
      </c>
      <c r="S196" s="18">
        <v>29</v>
      </c>
      <c r="T196" s="147">
        <f t="shared" si="41"/>
        <v>0</v>
      </c>
      <c r="U196" s="147">
        <f t="shared" si="32"/>
        <v>-16114.199999999999</v>
      </c>
      <c r="V196" s="143">
        <f t="shared" si="33"/>
        <v>129</v>
      </c>
      <c r="Y196" s="147"/>
    </row>
    <row r="197" spans="1:25" s="18" customFormat="1" ht="12.75">
      <c r="A197" s="161" t="s">
        <v>498</v>
      </c>
      <c r="B197" s="152">
        <v>42909</v>
      </c>
      <c r="C197" s="164" t="s">
        <v>499</v>
      </c>
      <c r="D197" s="165">
        <v>1115.08</v>
      </c>
      <c r="K197" s="152">
        <f t="shared" si="42"/>
        <v>42915</v>
      </c>
      <c r="L197" s="145"/>
      <c r="M197" s="152">
        <f t="shared" si="43"/>
        <v>42915</v>
      </c>
      <c r="N197" s="152">
        <v>42915</v>
      </c>
      <c r="O197" s="148">
        <f aca="true" t="shared" si="44" ref="O197:O205">+M197-K197</f>
        <v>0</v>
      </c>
      <c r="P197" s="148">
        <f t="shared" si="38"/>
        <v>0</v>
      </c>
      <c r="Q197" s="148">
        <f t="shared" si="39"/>
        <v>0</v>
      </c>
      <c r="R197" s="148">
        <f t="shared" si="40"/>
        <v>-30</v>
      </c>
      <c r="S197" s="18">
        <v>29</v>
      </c>
      <c r="T197" s="147">
        <f t="shared" si="41"/>
        <v>0</v>
      </c>
      <c r="U197" s="147">
        <f t="shared" si="32"/>
        <v>-33452.399999999994</v>
      </c>
      <c r="V197" s="143">
        <f t="shared" si="33"/>
        <v>129</v>
      </c>
      <c r="Y197" s="147"/>
    </row>
    <row r="198" spans="1:25" s="18" customFormat="1" ht="12.75">
      <c r="A198" s="161" t="s">
        <v>500</v>
      </c>
      <c r="B198" s="152">
        <v>42909</v>
      </c>
      <c r="C198" s="164" t="s">
        <v>501</v>
      </c>
      <c r="D198" s="165">
        <v>72.65</v>
      </c>
      <c r="K198" s="152">
        <f t="shared" si="42"/>
        <v>42915</v>
      </c>
      <c r="L198" s="145"/>
      <c r="M198" s="152">
        <f t="shared" si="43"/>
        <v>42915</v>
      </c>
      <c r="N198" s="152">
        <v>42915</v>
      </c>
      <c r="O198" s="148">
        <f t="shared" si="44"/>
        <v>0</v>
      </c>
      <c r="P198" s="148">
        <f t="shared" si="38"/>
        <v>0</v>
      </c>
      <c r="Q198" s="148">
        <f t="shared" si="39"/>
        <v>0</v>
      </c>
      <c r="R198" s="148">
        <f t="shared" si="40"/>
        <v>-30</v>
      </c>
      <c r="S198" s="18">
        <v>29</v>
      </c>
      <c r="T198" s="147">
        <f t="shared" si="41"/>
        <v>0</v>
      </c>
      <c r="U198" s="147">
        <f t="shared" si="32"/>
        <v>-2179.5</v>
      </c>
      <c r="V198" s="143">
        <f t="shared" si="33"/>
        <v>129</v>
      </c>
      <c r="Y198" s="147"/>
    </row>
    <row r="199" spans="1:25" s="18" customFormat="1" ht="12.75">
      <c r="A199" s="161" t="s">
        <v>502</v>
      </c>
      <c r="B199" s="152">
        <v>42909</v>
      </c>
      <c r="C199" s="164" t="s">
        <v>503</v>
      </c>
      <c r="D199" s="165">
        <v>75.07</v>
      </c>
      <c r="K199" s="152">
        <f t="shared" si="42"/>
        <v>42915</v>
      </c>
      <c r="L199" s="145"/>
      <c r="M199" s="152">
        <f t="shared" si="43"/>
        <v>42915</v>
      </c>
      <c r="N199" s="152">
        <v>42915</v>
      </c>
      <c r="O199" s="148">
        <f t="shared" si="44"/>
        <v>0</v>
      </c>
      <c r="P199" s="148">
        <f t="shared" si="38"/>
        <v>0</v>
      </c>
      <c r="Q199" s="148">
        <f t="shared" si="39"/>
        <v>0</v>
      </c>
      <c r="R199" s="148">
        <f t="shared" si="40"/>
        <v>-30</v>
      </c>
      <c r="S199" s="18">
        <v>29</v>
      </c>
      <c r="T199" s="147">
        <f t="shared" si="41"/>
        <v>0</v>
      </c>
      <c r="U199" s="147">
        <f aca="true" t="shared" si="45" ref="U199:U205">+R199*D199</f>
        <v>-2252.1</v>
      </c>
      <c r="V199" s="143">
        <f aca="true" t="shared" si="46" ref="V199:V205">IF(P199&gt;30,200+S199,100+S199)</f>
        <v>129</v>
      </c>
      <c r="Y199" s="147"/>
    </row>
    <row r="200" spans="1:25" s="18" customFormat="1" ht="12.75">
      <c r="A200" s="161" t="s">
        <v>504</v>
      </c>
      <c r="B200" s="152">
        <v>42916</v>
      </c>
      <c r="C200" s="164" t="s">
        <v>505</v>
      </c>
      <c r="D200" s="165">
        <v>1108.17</v>
      </c>
      <c r="K200" s="152">
        <f t="shared" si="42"/>
        <v>42916</v>
      </c>
      <c r="L200" s="145"/>
      <c r="M200" s="152">
        <f t="shared" si="43"/>
        <v>42916</v>
      </c>
      <c r="N200" s="152">
        <v>42916</v>
      </c>
      <c r="O200" s="148">
        <f t="shared" si="44"/>
        <v>0</v>
      </c>
      <c r="P200" s="148">
        <f t="shared" si="38"/>
        <v>0</v>
      </c>
      <c r="Q200" s="148">
        <f t="shared" si="39"/>
        <v>0</v>
      </c>
      <c r="R200" s="148">
        <f t="shared" si="40"/>
        <v>-30</v>
      </c>
      <c r="S200" s="18">
        <v>29</v>
      </c>
      <c r="T200" s="147">
        <f t="shared" si="41"/>
        <v>0</v>
      </c>
      <c r="U200" s="147">
        <f t="shared" si="45"/>
        <v>-33245.100000000006</v>
      </c>
      <c r="V200" s="143">
        <f t="shared" si="46"/>
        <v>129</v>
      </c>
      <c r="Y200" s="147"/>
    </row>
    <row r="201" spans="1:25" s="18" customFormat="1" ht="12.75">
      <c r="A201" s="161" t="s">
        <v>506</v>
      </c>
      <c r="B201" s="152">
        <v>42886</v>
      </c>
      <c r="C201" s="164" t="s">
        <v>507</v>
      </c>
      <c r="D201" s="165">
        <v>1400</v>
      </c>
      <c r="K201" s="152">
        <f t="shared" si="42"/>
        <v>42916</v>
      </c>
      <c r="L201" s="145"/>
      <c r="M201" s="152">
        <f t="shared" si="43"/>
        <v>42916</v>
      </c>
      <c r="N201" s="152">
        <v>42916</v>
      </c>
      <c r="O201" s="148">
        <f t="shared" si="44"/>
        <v>0</v>
      </c>
      <c r="P201" s="148">
        <f t="shared" si="38"/>
        <v>0</v>
      </c>
      <c r="Q201" s="148">
        <f t="shared" si="39"/>
        <v>0</v>
      </c>
      <c r="R201" s="148">
        <f t="shared" si="40"/>
        <v>-30</v>
      </c>
      <c r="S201" s="18">
        <v>29</v>
      </c>
      <c r="T201" s="147">
        <f t="shared" si="41"/>
        <v>0</v>
      </c>
      <c r="U201" s="147">
        <f t="shared" si="45"/>
        <v>-42000</v>
      </c>
      <c r="V201" s="143">
        <f t="shared" si="46"/>
        <v>129</v>
      </c>
      <c r="Y201" s="147"/>
    </row>
    <row r="202" spans="1:25" s="18" customFormat="1" ht="12.75">
      <c r="A202" s="161" t="s">
        <v>508</v>
      </c>
      <c r="B202" s="152">
        <v>42886</v>
      </c>
      <c r="C202" s="164" t="s">
        <v>509</v>
      </c>
      <c r="D202" s="165">
        <v>60.51</v>
      </c>
      <c r="K202" s="152">
        <f t="shared" si="42"/>
        <v>42912</v>
      </c>
      <c r="L202" s="145"/>
      <c r="M202" s="152">
        <f t="shared" si="43"/>
        <v>42912</v>
      </c>
      <c r="N202" s="152">
        <v>42912</v>
      </c>
      <c r="O202" s="148">
        <f t="shared" si="44"/>
        <v>0</v>
      </c>
      <c r="P202" s="148">
        <f t="shared" si="38"/>
        <v>0</v>
      </c>
      <c r="Q202" s="148">
        <f t="shared" si="39"/>
        <v>0</v>
      </c>
      <c r="R202" s="148">
        <f t="shared" si="40"/>
        <v>-30</v>
      </c>
      <c r="S202" s="18">
        <v>21</v>
      </c>
      <c r="T202" s="147">
        <f t="shared" si="41"/>
        <v>0</v>
      </c>
      <c r="U202" s="147">
        <f t="shared" si="45"/>
        <v>-1815.3</v>
      </c>
      <c r="V202" s="143">
        <f t="shared" si="46"/>
        <v>121</v>
      </c>
      <c r="Y202" s="147"/>
    </row>
    <row r="203" spans="1:25" s="18" customFormat="1" ht="12.75">
      <c r="A203" s="161" t="s">
        <v>510</v>
      </c>
      <c r="B203" s="152">
        <v>42916</v>
      </c>
      <c r="C203" s="162" t="s">
        <v>511</v>
      </c>
      <c r="D203" s="163">
        <v>305.75</v>
      </c>
      <c r="K203" s="152">
        <f t="shared" si="42"/>
        <v>42914</v>
      </c>
      <c r="L203" s="145"/>
      <c r="M203" s="152">
        <f t="shared" si="43"/>
        <v>42914</v>
      </c>
      <c r="N203" s="152">
        <v>42914</v>
      </c>
      <c r="O203" s="148">
        <f t="shared" si="44"/>
        <v>0</v>
      </c>
      <c r="P203" s="148">
        <f t="shared" si="38"/>
        <v>0</v>
      </c>
      <c r="Q203" s="148">
        <f t="shared" si="39"/>
        <v>0</v>
      </c>
      <c r="R203" s="148">
        <f t="shared" si="40"/>
        <v>-30</v>
      </c>
      <c r="S203" s="18">
        <v>29</v>
      </c>
      <c r="T203" s="147">
        <f t="shared" si="41"/>
        <v>0</v>
      </c>
      <c r="U203" s="147">
        <f t="shared" si="45"/>
        <v>-9172.5</v>
      </c>
      <c r="V203" s="143">
        <f t="shared" si="46"/>
        <v>129</v>
      </c>
      <c r="Y203" s="147"/>
    </row>
    <row r="204" spans="1:25" s="18" customFormat="1" ht="12.75">
      <c r="A204" s="161" t="s">
        <v>512</v>
      </c>
      <c r="B204" s="152">
        <v>42916</v>
      </c>
      <c r="C204" s="164" t="s">
        <v>513</v>
      </c>
      <c r="D204" s="165">
        <v>222.04</v>
      </c>
      <c r="K204" s="152">
        <f t="shared" si="42"/>
        <v>42916</v>
      </c>
      <c r="L204" s="145"/>
      <c r="M204" s="152">
        <f t="shared" si="43"/>
        <v>42916</v>
      </c>
      <c r="N204" s="152">
        <v>42916</v>
      </c>
      <c r="O204" s="148">
        <f t="shared" si="44"/>
        <v>0</v>
      </c>
      <c r="P204" s="148">
        <f t="shared" si="38"/>
        <v>0</v>
      </c>
      <c r="Q204" s="148">
        <f t="shared" si="39"/>
        <v>0</v>
      </c>
      <c r="R204" s="148">
        <f t="shared" si="40"/>
        <v>-30</v>
      </c>
      <c r="S204" s="18">
        <v>29</v>
      </c>
      <c r="T204" s="147">
        <f t="shared" si="41"/>
        <v>0</v>
      </c>
      <c r="U204" s="147">
        <f t="shared" si="45"/>
        <v>-6661.2</v>
      </c>
      <c r="V204" s="143">
        <f t="shared" si="46"/>
        <v>129</v>
      </c>
      <c r="Y204" s="147"/>
    </row>
    <row r="205" spans="1:25" s="18" customFormat="1" ht="12.75">
      <c r="A205" s="161" t="s">
        <v>514</v>
      </c>
      <c r="B205" s="152">
        <v>42916</v>
      </c>
      <c r="C205" s="164" t="s">
        <v>515</v>
      </c>
      <c r="D205" s="165">
        <v>408.89</v>
      </c>
      <c r="K205" s="152">
        <f t="shared" si="42"/>
        <v>42893</v>
      </c>
      <c r="L205" s="145"/>
      <c r="M205" s="152">
        <f t="shared" si="43"/>
        <v>42893</v>
      </c>
      <c r="N205" s="152">
        <v>42893</v>
      </c>
      <c r="O205" s="148">
        <f t="shared" si="44"/>
        <v>0</v>
      </c>
      <c r="P205" s="148">
        <f t="shared" si="38"/>
        <v>0</v>
      </c>
      <c r="Q205" s="148">
        <f t="shared" si="39"/>
        <v>0</v>
      </c>
      <c r="R205" s="148">
        <f t="shared" si="40"/>
        <v>-30</v>
      </c>
      <c r="S205" s="18">
        <v>29</v>
      </c>
      <c r="T205" s="147">
        <f t="shared" si="41"/>
        <v>0</v>
      </c>
      <c r="U205" s="147">
        <f t="shared" si="45"/>
        <v>-12266.699999999999</v>
      </c>
      <c r="V205" s="143">
        <f t="shared" si="46"/>
        <v>129</v>
      </c>
      <c r="Y205" s="147"/>
    </row>
    <row r="206" spans="1:25" s="18" customFormat="1" ht="12.75">
      <c r="A206" s="164"/>
      <c r="B206" s="152"/>
      <c r="C206" s="164"/>
      <c r="D206" s="165"/>
      <c r="K206" s="171"/>
      <c r="L206" s="145"/>
      <c r="M206" s="152"/>
      <c r="N206" s="171"/>
      <c r="O206" s="148"/>
      <c r="P206" s="148"/>
      <c r="Q206" s="148"/>
      <c r="R206" s="148"/>
      <c r="S206" s="143"/>
      <c r="T206" s="147"/>
      <c r="U206" s="147"/>
      <c r="V206" s="143"/>
      <c r="Y206" s="147"/>
    </row>
    <row r="207" spans="1:25" s="18" customFormat="1" ht="12.75">
      <c r="A207" s="164"/>
      <c r="B207" s="152"/>
      <c r="C207" s="164"/>
      <c r="D207" s="165"/>
      <c r="K207" s="171"/>
      <c r="L207" s="145"/>
      <c r="M207" s="152"/>
      <c r="N207" s="171"/>
      <c r="O207" s="148"/>
      <c r="P207" s="148"/>
      <c r="Q207" s="148"/>
      <c r="R207" s="148"/>
      <c r="S207" s="143"/>
      <c r="T207" s="147"/>
      <c r="U207" s="147"/>
      <c r="V207" s="143"/>
      <c r="Y207" s="147"/>
    </row>
    <row r="208" spans="1:25" s="18" customFormat="1" ht="12.75">
      <c r="A208" s="164"/>
      <c r="B208" s="152"/>
      <c r="C208" s="164"/>
      <c r="D208" s="165"/>
      <c r="K208" s="171"/>
      <c r="L208" s="145"/>
      <c r="M208" s="152"/>
      <c r="N208" s="171"/>
      <c r="O208" s="148"/>
      <c r="P208" s="148"/>
      <c r="Q208" s="148"/>
      <c r="R208" s="148"/>
      <c r="S208" s="143"/>
      <c r="T208" s="147"/>
      <c r="U208" s="147"/>
      <c r="V208" s="143"/>
      <c r="Y208" s="147"/>
    </row>
    <row r="209" spans="1:25" s="18" customFormat="1" ht="12.75">
      <c r="A209" s="164"/>
      <c r="B209" s="152"/>
      <c r="C209" s="164"/>
      <c r="D209" s="165"/>
      <c r="K209" s="171"/>
      <c r="L209" s="145"/>
      <c r="M209" s="152"/>
      <c r="N209" s="171"/>
      <c r="O209" s="148"/>
      <c r="P209" s="148"/>
      <c r="Q209" s="148"/>
      <c r="R209" s="148"/>
      <c r="S209" s="143"/>
      <c r="T209" s="147"/>
      <c r="U209" s="147"/>
      <c r="V209" s="143"/>
      <c r="Y209" s="147"/>
    </row>
    <row r="210" spans="1:25" s="18" customFormat="1" ht="12.75">
      <c r="A210" s="164"/>
      <c r="B210" s="152"/>
      <c r="C210" s="164"/>
      <c r="D210" s="165"/>
      <c r="K210" s="171"/>
      <c r="L210" s="145"/>
      <c r="M210" s="152"/>
      <c r="N210" s="171"/>
      <c r="O210" s="148"/>
      <c r="P210" s="148"/>
      <c r="Q210" s="148"/>
      <c r="R210" s="148"/>
      <c r="S210" s="143"/>
      <c r="T210" s="147"/>
      <c r="U210" s="147"/>
      <c r="V210" s="143"/>
      <c r="Y210" s="147"/>
    </row>
    <row r="211" spans="1:25" s="18" customFormat="1" ht="12.75">
      <c r="A211" s="164"/>
      <c r="B211" s="152"/>
      <c r="C211" s="164"/>
      <c r="D211" s="165"/>
      <c r="K211" s="171"/>
      <c r="L211" s="145"/>
      <c r="M211" s="152"/>
      <c r="N211" s="171"/>
      <c r="O211" s="148"/>
      <c r="P211" s="148"/>
      <c r="Q211" s="148"/>
      <c r="R211" s="148"/>
      <c r="S211" s="143"/>
      <c r="T211" s="147"/>
      <c r="U211" s="147"/>
      <c r="V211" s="143"/>
      <c r="Y211" s="147"/>
    </row>
    <row r="212" spans="1:25" s="18" customFormat="1" ht="12.75">
      <c r="A212" s="164"/>
      <c r="B212" s="152"/>
      <c r="C212" s="164"/>
      <c r="D212" s="165"/>
      <c r="K212" s="171"/>
      <c r="L212" s="145"/>
      <c r="M212" s="152"/>
      <c r="N212" s="171"/>
      <c r="O212" s="148"/>
      <c r="P212" s="148"/>
      <c r="Q212" s="148"/>
      <c r="R212" s="148"/>
      <c r="S212" s="143"/>
      <c r="T212" s="147"/>
      <c r="U212" s="147"/>
      <c r="V212" s="143"/>
      <c r="Y212" s="147"/>
    </row>
    <row r="213" spans="1:25" s="18" customFormat="1" ht="12.75">
      <c r="A213" s="164"/>
      <c r="B213" s="152"/>
      <c r="C213" s="164"/>
      <c r="D213" s="165"/>
      <c r="K213" s="171"/>
      <c r="L213" s="145"/>
      <c r="M213" s="152"/>
      <c r="N213" s="171"/>
      <c r="O213" s="148"/>
      <c r="P213" s="148"/>
      <c r="Q213" s="148"/>
      <c r="R213" s="148"/>
      <c r="S213" s="143"/>
      <c r="T213" s="147"/>
      <c r="U213" s="147"/>
      <c r="V213" s="143"/>
      <c r="Y213" s="147"/>
    </row>
    <row r="214" spans="1:25" s="18" customFormat="1" ht="12.75">
      <c r="A214" s="162"/>
      <c r="B214" s="152"/>
      <c r="C214" s="162"/>
      <c r="D214" s="163"/>
      <c r="K214" s="172"/>
      <c r="L214" s="145"/>
      <c r="M214" s="152"/>
      <c r="N214" s="172"/>
      <c r="O214" s="148"/>
      <c r="P214" s="148"/>
      <c r="Q214" s="148"/>
      <c r="R214" s="148"/>
      <c r="S214" s="143"/>
      <c r="T214" s="147"/>
      <c r="U214" s="147"/>
      <c r="V214" s="143"/>
      <c r="Y214" s="147"/>
    </row>
    <row r="215" spans="1:25" s="18" customFormat="1" ht="12.75">
      <c r="A215" s="162"/>
      <c r="B215" s="152"/>
      <c r="C215" s="162"/>
      <c r="D215" s="163"/>
      <c r="K215" s="172"/>
      <c r="L215" s="145"/>
      <c r="M215" s="152"/>
      <c r="N215" s="172"/>
      <c r="O215" s="148"/>
      <c r="P215" s="148"/>
      <c r="Q215" s="148"/>
      <c r="R215" s="148"/>
      <c r="S215" s="143"/>
      <c r="T215" s="147"/>
      <c r="U215" s="147"/>
      <c r="V215" s="143"/>
      <c r="Y215" s="147"/>
    </row>
    <row r="216" spans="1:25" s="18" customFormat="1" ht="12.75">
      <c r="A216" s="164"/>
      <c r="B216" s="152"/>
      <c r="C216" s="164"/>
      <c r="D216" s="165"/>
      <c r="K216" s="171"/>
      <c r="L216" s="145"/>
      <c r="M216" s="152"/>
      <c r="N216" s="171"/>
      <c r="O216" s="148"/>
      <c r="P216" s="148"/>
      <c r="Q216" s="148"/>
      <c r="R216" s="148"/>
      <c r="S216" s="143"/>
      <c r="T216" s="147"/>
      <c r="U216" s="147"/>
      <c r="V216" s="143"/>
      <c r="Y216" s="147"/>
    </row>
    <row r="217" spans="1:25" s="18" customFormat="1" ht="12.75">
      <c r="A217" s="164"/>
      <c r="B217" s="152"/>
      <c r="C217" s="164"/>
      <c r="D217" s="165"/>
      <c r="K217" s="171"/>
      <c r="L217" s="145"/>
      <c r="M217" s="152"/>
      <c r="N217" s="171"/>
      <c r="O217" s="148"/>
      <c r="P217" s="148"/>
      <c r="Q217" s="148"/>
      <c r="R217" s="148"/>
      <c r="S217" s="143"/>
      <c r="T217" s="147"/>
      <c r="U217" s="147"/>
      <c r="V217" s="143"/>
      <c r="Y217" s="147"/>
    </row>
    <row r="218" spans="1:25" s="18" customFormat="1" ht="12.75">
      <c r="A218" s="164"/>
      <c r="B218" s="152"/>
      <c r="C218" s="164"/>
      <c r="D218" s="165"/>
      <c r="K218" s="171"/>
      <c r="L218" s="145"/>
      <c r="M218" s="152"/>
      <c r="N218" s="171"/>
      <c r="O218" s="148"/>
      <c r="P218" s="148"/>
      <c r="Q218" s="148"/>
      <c r="R218" s="148"/>
      <c r="S218" s="143"/>
      <c r="T218" s="147"/>
      <c r="U218" s="147"/>
      <c r="V218" s="143"/>
      <c r="Y218" s="147"/>
    </row>
    <row r="219" spans="1:25" s="18" customFormat="1" ht="12.75">
      <c r="A219" s="164"/>
      <c r="B219" s="152"/>
      <c r="C219" s="164"/>
      <c r="D219" s="165"/>
      <c r="K219" s="171"/>
      <c r="L219" s="145"/>
      <c r="M219" s="152"/>
      <c r="N219" s="171"/>
      <c r="O219" s="148"/>
      <c r="P219" s="148"/>
      <c r="Q219" s="148"/>
      <c r="R219" s="148"/>
      <c r="S219" s="143"/>
      <c r="T219" s="147"/>
      <c r="U219" s="147"/>
      <c r="V219" s="143"/>
      <c r="Y219" s="147"/>
    </row>
    <row r="220" spans="1:25" s="18" customFormat="1" ht="12.75">
      <c r="A220" s="164"/>
      <c r="B220" s="152"/>
      <c r="C220" s="164"/>
      <c r="D220" s="165"/>
      <c r="K220" s="171"/>
      <c r="L220" s="145"/>
      <c r="M220" s="152"/>
      <c r="N220" s="171"/>
      <c r="O220" s="148"/>
      <c r="P220" s="148"/>
      <c r="Q220" s="148"/>
      <c r="R220" s="148"/>
      <c r="T220" s="147"/>
      <c r="U220" s="147"/>
      <c r="V220" s="143"/>
      <c r="Y220" s="147"/>
    </row>
    <row r="221" spans="1:25" s="18" customFormat="1" ht="12.75">
      <c r="A221" s="162"/>
      <c r="B221" s="152"/>
      <c r="C221" s="162"/>
      <c r="D221" s="163"/>
      <c r="K221" s="172"/>
      <c r="L221" s="145"/>
      <c r="M221" s="152"/>
      <c r="N221" s="172"/>
      <c r="O221" s="148"/>
      <c r="P221" s="148"/>
      <c r="Q221" s="148"/>
      <c r="R221" s="148"/>
      <c r="T221" s="147"/>
      <c r="U221" s="147"/>
      <c r="V221" s="143"/>
      <c r="Y221" s="147"/>
    </row>
    <row r="222" spans="1:25" s="18" customFormat="1" ht="12.75">
      <c r="A222" s="162"/>
      <c r="B222" s="152"/>
      <c r="C222" s="162"/>
      <c r="D222" s="163"/>
      <c r="K222" s="172"/>
      <c r="L222" s="145"/>
      <c r="M222" s="152"/>
      <c r="N222" s="172"/>
      <c r="O222" s="148"/>
      <c r="P222" s="148"/>
      <c r="Q222" s="148"/>
      <c r="R222" s="148"/>
      <c r="T222" s="147"/>
      <c r="U222" s="147"/>
      <c r="V222" s="143"/>
      <c r="Y222" s="147"/>
    </row>
    <row r="223" spans="1:25" s="18" customFormat="1" ht="12.75">
      <c r="A223" s="162"/>
      <c r="B223" s="152"/>
      <c r="C223" s="162"/>
      <c r="D223" s="163"/>
      <c r="K223" s="172"/>
      <c r="L223" s="145"/>
      <c r="M223" s="152"/>
      <c r="N223" s="172"/>
      <c r="O223" s="148"/>
      <c r="P223" s="148"/>
      <c r="Q223" s="148"/>
      <c r="R223" s="148"/>
      <c r="T223" s="147"/>
      <c r="U223" s="147"/>
      <c r="V223" s="143"/>
      <c r="Y223" s="147"/>
    </row>
    <row r="224" spans="1:25" s="18" customFormat="1" ht="12.75">
      <c r="A224" s="164"/>
      <c r="B224" s="152"/>
      <c r="C224" s="164"/>
      <c r="D224" s="165"/>
      <c r="K224" s="171"/>
      <c r="L224" s="145"/>
      <c r="M224" s="152"/>
      <c r="N224" s="171"/>
      <c r="O224" s="148"/>
      <c r="P224" s="148"/>
      <c r="Q224" s="148"/>
      <c r="R224" s="148"/>
      <c r="T224" s="147"/>
      <c r="U224" s="147"/>
      <c r="V224" s="143"/>
      <c r="Y224" s="147"/>
    </row>
    <row r="225" spans="1:25" s="18" customFormat="1" ht="12.75">
      <c r="A225" s="164"/>
      <c r="B225" s="152"/>
      <c r="C225" s="164"/>
      <c r="D225" s="165"/>
      <c r="K225" s="171"/>
      <c r="L225" s="145"/>
      <c r="M225" s="152"/>
      <c r="N225" s="171"/>
      <c r="O225" s="148"/>
      <c r="P225" s="148"/>
      <c r="Q225" s="148"/>
      <c r="R225" s="148"/>
      <c r="T225" s="147"/>
      <c r="U225" s="147"/>
      <c r="V225" s="143"/>
      <c r="Y225" s="147"/>
    </row>
    <row r="226" spans="1:25" s="18" customFormat="1" ht="12.75">
      <c r="A226" s="164"/>
      <c r="B226" s="152"/>
      <c r="C226" s="164"/>
      <c r="D226" s="165"/>
      <c r="K226" s="171"/>
      <c r="L226" s="145"/>
      <c r="M226" s="152"/>
      <c r="N226" s="171"/>
      <c r="O226" s="148"/>
      <c r="P226" s="148"/>
      <c r="Q226" s="148"/>
      <c r="R226" s="148"/>
      <c r="T226" s="147"/>
      <c r="U226" s="147"/>
      <c r="V226" s="143"/>
      <c r="Y226" s="147"/>
    </row>
    <row r="227" spans="1:25" s="18" customFormat="1" ht="12.75">
      <c r="A227" s="164"/>
      <c r="B227" s="152"/>
      <c r="C227" s="164"/>
      <c r="D227" s="165"/>
      <c r="K227" s="171"/>
      <c r="L227" s="145"/>
      <c r="M227" s="152"/>
      <c r="N227" s="171"/>
      <c r="O227" s="148"/>
      <c r="P227" s="148"/>
      <c r="Q227" s="148"/>
      <c r="R227" s="148"/>
      <c r="T227" s="147"/>
      <c r="U227" s="147"/>
      <c r="V227" s="143"/>
      <c r="Y227" s="147"/>
    </row>
    <row r="228" spans="1:25" s="18" customFormat="1" ht="12.75">
      <c r="A228" s="162"/>
      <c r="B228" s="152"/>
      <c r="C228" s="162"/>
      <c r="D228" s="163"/>
      <c r="K228" s="172"/>
      <c r="L228" s="145"/>
      <c r="M228" s="152"/>
      <c r="N228" s="172"/>
      <c r="O228" s="148"/>
      <c r="P228" s="148"/>
      <c r="Q228" s="148"/>
      <c r="R228" s="148"/>
      <c r="T228" s="147"/>
      <c r="U228" s="147"/>
      <c r="V228" s="143"/>
      <c r="Y228" s="147"/>
    </row>
    <row r="229" spans="1:25" s="18" customFormat="1" ht="12.75">
      <c r="A229" s="162"/>
      <c r="B229" s="152"/>
      <c r="C229" s="162"/>
      <c r="D229" s="163"/>
      <c r="K229" s="172"/>
      <c r="L229" s="145"/>
      <c r="M229" s="152"/>
      <c r="N229" s="172"/>
      <c r="O229" s="148"/>
      <c r="P229" s="148"/>
      <c r="Q229" s="148"/>
      <c r="R229" s="148"/>
      <c r="T229" s="147"/>
      <c r="U229" s="147"/>
      <c r="V229" s="143"/>
      <c r="Y229" s="147"/>
    </row>
    <row r="230" spans="1:25" s="18" customFormat="1" ht="12.75">
      <c r="A230" s="162"/>
      <c r="B230" s="152"/>
      <c r="C230" s="162"/>
      <c r="D230" s="163"/>
      <c r="K230" s="172"/>
      <c r="L230" s="145"/>
      <c r="M230" s="152"/>
      <c r="N230" s="172"/>
      <c r="O230" s="148"/>
      <c r="P230" s="148"/>
      <c r="Q230" s="148"/>
      <c r="R230" s="148"/>
      <c r="T230" s="147"/>
      <c r="U230" s="147"/>
      <c r="V230" s="143"/>
      <c r="Y230" s="147"/>
    </row>
    <row r="231" spans="1:25" s="18" customFormat="1" ht="12.75">
      <c r="A231" s="162"/>
      <c r="B231" s="152"/>
      <c r="C231" s="162"/>
      <c r="D231" s="163"/>
      <c r="K231" s="172"/>
      <c r="L231" s="145"/>
      <c r="M231" s="152"/>
      <c r="N231" s="172"/>
      <c r="O231" s="148"/>
      <c r="P231" s="148"/>
      <c r="Q231" s="148"/>
      <c r="R231" s="148"/>
      <c r="T231" s="147"/>
      <c r="U231" s="147"/>
      <c r="V231" s="143"/>
      <c r="Y231" s="147"/>
    </row>
    <row r="232" spans="1:25" s="18" customFormat="1" ht="12.75">
      <c r="A232" s="162"/>
      <c r="B232" s="172"/>
      <c r="C232" s="162"/>
      <c r="D232" s="163"/>
      <c r="K232" s="172"/>
      <c r="L232" s="145"/>
      <c r="M232" s="152"/>
      <c r="N232" s="172"/>
      <c r="O232" s="148"/>
      <c r="P232" s="148"/>
      <c r="Q232" s="148"/>
      <c r="R232" s="148"/>
      <c r="T232" s="147"/>
      <c r="U232" s="147"/>
      <c r="V232" s="143"/>
      <c r="Y232" s="147"/>
    </row>
    <row r="233" spans="1:25" s="18" customFormat="1" ht="12.75">
      <c r="A233" s="164"/>
      <c r="B233" s="171"/>
      <c r="C233" s="164"/>
      <c r="D233" s="165"/>
      <c r="K233" s="171"/>
      <c r="L233" s="145"/>
      <c r="M233" s="152"/>
      <c r="N233" s="171"/>
      <c r="O233" s="148"/>
      <c r="P233" s="148"/>
      <c r="Q233" s="148"/>
      <c r="R233" s="148"/>
      <c r="T233" s="147"/>
      <c r="U233" s="147"/>
      <c r="V233" s="143"/>
      <c r="Y233" s="147"/>
    </row>
    <row r="234" spans="1:25" s="18" customFormat="1" ht="12.75">
      <c r="A234" s="162"/>
      <c r="B234" s="172"/>
      <c r="C234" s="162"/>
      <c r="D234" s="163"/>
      <c r="K234" s="172"/>
      <c r="L234" s="145"/>
      <c r="M234" s="152"/>
      <c r="N234" s="172"/>
      <c r="O234" s="148"/>
      <c r="P234" s="148"/>
      <c r="Q234" s="148"/>
      <c r="R234" s="148"/>
      <c r="T234" s="147"/>
      <c r="U234" s="147"/>
      <c r="V234" s="143"/>
      <c r="Y234" s="147"/>
    </row>
    <row r="235" spans="1:25" s="18" customFormat="1" ht="12.75">
      <c r="A235" s="162"/>
      <c r="B235" s="172"/>
      <c r="C235" s="162"/>
      <c r="D235" s="163"/>
      <c r="K235" s="172"/>
      <c r="L235" s="145"/>
      <c r="M235" s="152"/>
      <c r="N235" s="172"/>
      <c r="O235" s="148"/>
      <c r="P235" s="148"/>
      <c r="Q235" s="148"/>
      <c r="R235" s="148"/>
      <c r="T235" s="147"/>
      <c r="U235" s="147"/>
      <c r="V235" s="143"/>
      <c r="Y235" s="147"/>
    </row>
    <row r="236" spans="1:25" s="18" customFormat="1" ht="12.75">
      <c r="A236" s="162"/>
      <c r="B236" s="172"/>
      <c r="C236" s="162"/>
      <c r="D236" s="163"/>
      <c r="K236" s="172"/>
      <c r="L236" s="145"/>
      <c r="M236" s="152"/>
      <c r="N236" s="172"/>
      <c r="O236" s="148"/>
      <c r="P236" s="148"/>
      <c r="Q236" s="148"/>
      <c r="R236" s="148"/>
      <c r="T236" s="147"/>
      <c r="U236" s="147"/>
      <c r="V236" s="143"/>
      <c r="Y236" s="147"/>
    </row>
    <row r="237" spans="1:25" s="18" customFormat="1" ht="12.75">
      <c r="A237" s="162"/>
      <c r="B237" s="172"/>
      <c r="C237" s="162"/>
      <c r="D237" s="163"/>
      <c r="K237" s="172"/>
      <c r="L237" s="145"/>
      <c r="M237" s="152"/>
      <c r="N237" s="172"/>
      <c r="O237" s="148"/>
      <c r="P237" s="148"/>
      <c r="Q237" s="148"/>
      <c r="R237" s="148"/>
      <c r="T237" s="147"/>
      <c r="U237" s="147"/>
      <c r="V237" s="143"/>
      <c r="Y237" s="147"/>
    </row>
    <row r="238" spans="1:25" s="18" customFormat="1" ht="12.75">
      <c r="A238" s="164"/>
      <c r="B238" s="171"/>
      <c r="C238" s="164"/>
      <c r="D238" s="165"/>
      <c r="K238" s="171"/>
      <c r="L238" s="145"/>
      <c r="M238" s="152"/>
      <c r="N238" s="171"/>
      <c r="O238" s="148"/>
      <c r="P238" s="148"/>
      <c r="Q238" s="148"/>
      <c r="R238" s="148"/>
      <c r="T238" s="147"/>
      <c r="U238" s="147"/>
      <c r="V238" s="143"/>
      <c r="Y238" s="147"/>
    </row>
    <row r="239" spans="1:25" s="18" customFormat="1" ht="12.75">
      <c r="A239" s="164"/>
      <c r="B239" s="171"/>
      <c r="C239" s="164"/>
      <c r="D239" s="165"/>
      <c r="K239" s="171"/>
      <c r="L239" s="145"/>
      <c r="M239" s="152"/>
      <c r="N239" s="171"/>
      <c r="O239" s="148"/>
      <c r="P239" s="148"/>
      <c r="Q239" s="148"/>
      <c r="R239" s="148"/>
      <c r="T239" s="147"/>
      <c r="U239" s="147"/>
      <c r="V239" s="143"/>
      <c r="Y239" s="147"/>
    </row>
    <row r="240" spans="1:25" s="18" customFormat="1" ht="12.75">
      <c r="A240" s="164"/>
      <c r="B240" s="171"/>
      <c r="C240" s="164"/>
      <c r="D240" s="165"/>
      <c r="K240" s="171"/>
      <c r="L240" s="145"/>
      <c r="M240" s="152"/>
      <c r="N240" s="171"/>
      <c r="O240" s="148"/>
      <c r="P240" s="148"/>
      <c r="Q240" s="148"/>
      <c r="R240" s="148"/>
      <c r="T240" s="147"/>
      <c r="U240" s="147"/>
      <c r="V240" s="143"/>
      <c r="Y240" s="147"/>
    </row>
    <row r="241" spans="1:25" s="18" customFormat="1" ht="12.75">
      <c r="A241" s="164"/>
      <c r="B241" s="171"/>
      <c r="C241" s="164"/>
      <c r="D241" s="165"/>
      <c r="K241" s="171"/>
      <c r="L241" s="145"/>
      <c r="M241" s="152"/>
      <c r="N241" s="171"/>
      <c r="O241" s="148"/>
      <c r="P241" s="148"/>
      <c r="Q241" s="148"/>
      <c r="R241" s="148"/>
      <c r="T241" s="147"/>
      <c r="U241" s="147"/>
      <c r="V241" s="143"/>
      <c r="Y241" s="147"/>
    </row>
    <row r="242" spans="1:25" s="18" customFormat="1" ht="12.75">
      <c r="A242" s="164"/>
      <c r="B242" s="171"/>
      <c r="C242" s="164"/>
      <c r="D242" s="165"/>
      <c r="K242" s="171"/>
      <c r="L242" s="145"/>
      <c r="M242" s="152"/>
      <c r="N242" s="171"/>
      <c r="O242" s="148"/>
      <c r="P242" s="148"/>
      <c r="Q242" s="148"/>
      <c r="R242" s="148"/>
      <c r="T242" s="147"/>
      <c r="U242" s="147"/>
      <c r="V242" s="143"/>
      <c r="Y242" s="147"/>
    </row>
    <row r="243" spans="1:25" s="18" customFormat="1" ht="12.75">
      <c r="A243" s="164"/>
      <c r="B243" s="171"/>
      <c r="C243" s="164"/>
      <c r="D243" s="165"/>
      <c r="K243" s="171"/>
      <c r="L243" s="145"/>
      <c r="M243" s="152"/>
      <c r="N243" s="171"/>
      <c r="O243" s="148"/>
      <c r="P243" s="148"/>
      <c r="Q243" s="148"/>
      <c r="R243" s="148"/>
      <c r="T243" s="147"/>
      <c r="U243" s="147"/>
      <c r="V243" s="143"/>
      <c r="Y243" s="147"/>
    </row>
    <row r="244" spans="1:25" s="18" customFormat="1" ht="12.75">
      <c r="A244" s="162"/>
      <c r="B244" s="172"/>
      <c r="C244" s="162"/>
      <c r="D244" s="163"/>
      <c r="K244" s="172"/>
      <c r="L244" s="145"/>
      <c r="M244" s="152"/>
      <c r="N244" s="172"/>
      <c r="O244" s="148"/>
      <c r="P244" s="148"/>
      <c r="Q244" s="148"/>
      <c r="R244" s="148"/>
      <c r="T244" s="147"/>
      <c r="U244" s="147"/>
      <c r="V244" s="143"/>
      <c r="Y244" s="147"/>
    </row>
    <row r="245" spans="1:25" s="18" customFormat="1" ht="12.75">
      <c r="A245" s="164"/>
      <c r="B245" s="171"/>
      <c r="C245" s="164"/>
      <c r="D245" s="165"/>
      <c r="K245" s="171"/>
      <c r="L245" s="145"/>
      <c r="M245" s="152"/>
      <c r="N245" s="171"/>
      <c r="O245" s="148"/>
      <c r="P245" s="148"/>
      <c r="Q245" s="148"/>
      <c r="R245" s="148"/>
      <c r="T245" s="147"/>
      <c r="U245" s="147"/>
      <c r="V245" s="143"/>
      <c r="Y245" s="147"/>
    </row>
    <row r="246" spans="1:25" s="18" customFormat="1" ht="12.75">
      <c r="A246" s="164"/>
      <c r="B246" s="171"/>
      <c r="C246" s="164"/>
      <c r="D246" s="165"/>
      <c r="K246" s="171"/>
      <c r="L246" s="145"/>
      <c r="M246" s="152"/>
      <c r="N246" s="171"/>
      <c r="O246" s="148"/>
      <c r="P246" s="148"/>
      <c r="Q246" s="148"/>
      <c r="R246" s="148"/>
      <c r="T246" s="147"/>
      <c r="U246" s="147"/>
      <c r="V246" s="143"/>
      <c r="Y246" s="147"/>
    </row>
    <row r="247" spans="1:25" s="18" customFormat="1" ht="12.75">
      <c r="A247" s="164"/>
      <c r="B247" s="171"/>
      <c r="C247" s="164"/>
      <c r="D247" s="165"/>
      <c r="K247" s="171"/>
      <c r="L247" s="145"/>
      <c r="M247" s="152"/>
      <c r="N247" s="171"/>
      <c r="O247" s="148"/>
      <c r="P247" s="148"/>
      <c r="Q247" s="148"/>
      <c r="R247" s="148"/>
      <c r="T247" s="147"/>
      <c r="U247" s="147"/>
      <c r="V247" s="143"/>
      <c r="Y247" s="147"/>
    </row>
    <row r="248" spans="1:25" s="18" customFormat="1" ht="12.75">
      <c r="A248" s="164"/>
      <c r="B248" s="171"/>
      <c r="C248" s="164"/>
      <c r="D248" s="165"/>
      <c r="K248" s="171"/>
      <c r="L248" s="145"/>
      <c r="M248" s="152"/>
      <c r="N248" s="171"/>
      <c r="O248" s="148"/>
      <c r="P248" s="148"/>
      <c r="Q248" s="148"/>
      <c r="R248" s="148"/>
      <c r="T248" s="147"/>
      <c r="U248" s="147"/>
      <c r="V248" s="143"/>
      <c r="Y248" s="147"/>
    </row>
    <row r="249" spans="1:25" s="18" customFormat="1" ht="12.75">
      <c r="A249" s="162"/>
      <c r="B249" s="172"/>
      <c r="C249" s="162"/>
      <c r="D249" s="163"/>
      <c r="K249" s="172"/>
      <c r="L249" s="145"/>
      <c r="M249" s="152"/>
      <c r="N249" s="172"/>
      <c r="O249" s="148"/>
      <c r="P249" s="148"/>
      <c r="Q249" s="148"/>
      <c r="R249" s="148"/>
      <c r="T249" s="147"/>
      <c r="U249" s="147"/>
      <c r="V249" s="143"/>
      <c r="Y249" s="147"/>
    </row>
    <row r="250" spans="2:22" s="18" customFormat="1" ht="12.75">
      <c r="B250" s="145"/>
      <c r="C250" s="146"/>
      <c r="D250" s="147"/>
      <c r="K250" s="145"/>
      <c r="L250" s="145"/>
      <c r="M250" s="145"/>
      <c r="N250" s="145"/>
      <c r="O250" s="148"/>
      <c r="P250" s="148"/>
      <c r="Q250" s="148"/>
      <c r="R250" s="148"/>
      <c r="T250" s="147"/>
      <c r="U250" s="147"/>
      <c r="V250" s="143"/>
    </row>
    <row r="251" spans="2:22" s="18" customFormat="1" ht="12.75">
      <c r="B251" s="145"/>
      <c r="C251" s="146"/>
      <c r="D251" s="147"/>
      <c r="K251" s="145"/>
      <c r="L251" s="145"/>
      <c r="M251" s="145"/>
      <c r="N251" s="145"/>
      <c r="O251" s="148"/>
      <c r="P251" s="148"/>
      <c r="Q251" s="148"/>
      <c r="R251" s="148"/>
      <c r="T251" s="147"/>
      <c r="U251" s="147"/>
      <c r="V251" s="143"/>
    </row>
    <row r="252" spans="2:22" s="18" customFormat="1" ht="12.75">
      <c r="B252" s="145"/>
      <c r="C252" s="146"/>
      <c r="D252" s="147"/>
      <c r="K252" s="145"/>
      <c r="L252" s="145"/>
      <c r="M252" s="145"/>
      <c r="N252" s="145"/>
      <c r="O252" s="148"/>
      <c r="P252" s="148"/>
      <c r="Q252" s="148"/>
      <c r="R252" s="148"/>
      <c r="T252" s="147"/>
      <c r="U252" s="147"/>
      <c r="V252" s="143"/>
    </row>
    <row r="253" spans="2:22" s="18" customFormat="1" ht="12.75">
      <c r="B253" s="145"/>
      <c r="C253" s="146"/>
      <c r="D253" s="147"/>
      <c r="K253" s="145"/>
      <c r="L253" s="145"/>
      <c r="M253" s="145"/>
      <c r="N253" s="145"/>
      <c r="O253" s="148"/>
      <c r="P253" s="148"/>
      <c r="Q253" s="148"/>
      <c r="R253" s="148"/>
      <c r="T253" s="147"/>
      <c r="U253" s="147"/>
      <c r="V253" s="143"/>
    </row>
    <row r="254" spans="2:22" s="18" customFormat="1" ht="12.75">
      <c r="B254" s="145"/>
      <c r="C254" s="146"/>
      <c r="D254" s="147"/>
      <c r="K254" s="145"/>
      <c r="L254" s="145"/>
      <c r="M254" s="145"/>
      <c r="N254" s="145"/>
      <c r="O254" s="148"/>
      <c r="P254" s="148"/>
      <c r="Q254" s="148"/>
      <c r="R254" s="148"/>
      <c r="T254" s="147"/>
      <c r="U254" s="147"/>
      <c r="V254" s="143"/>
    </row>
    <row r="255" spans="2:22" s="18" customFormat="1" ht="12.75">
      <c r="B255" s="145"/>
      <c r="C255" s="146"/>
      <c r="D255" s="147"/>
      <c r="K255" s="145"/>
      <c r="L255" s="145"/>
      <c r="M255" s="145"/>
      <c r="N255" s="145"/>
      <c r="O255" s="148"/>
      <c r="P255" s="148"/>
      <c r="Q255" s="148"/>
      <c r="R255" s="148"/>
      <c r="T255" s="147"/>
      <c r="U255" s="147"/>
      <c r="V255" s="143"/>
    </row>
    <row r="256" spans="2:22" s="18" customFormat="1" ht="12.75">
      <c r="B256" s="145"/>
      <c r="C256" s="146"/>
      <c r="D256" s="147"/>
      <c r="K256" s="145"/>
      <c r="L256" s="145"/>
      <c r="M256" s="145"/>
      <c r="N256" s="145"/>
      <c r="O256" s="148"/>
      <c r="P256" s="148"/>
      <c r="Q256" s="148"/>
      <c r="R256" s="148"/>
      <c r="T256" s="147"/>
      <c r="U256" s="147"/>
      <c r="V256" s="143"/>
    </row>
    <row r="257" spans="2:22" s="18" customFormat="1" ht="12.75">
      <c r="B257" s="145"/>
      <c r="C257" s="146"/>
      <c r="D257" s="147"/>
      <c r="K257" s="145"/>
      <c r="L257" s="145"/>
      <c r="M257" s="145"/>
      <c r="N257" s="145"/>
      <c r="O257" s="148"/>
      <c r="P257" s="148"/>
      <c r="Q257" s="148"/>
      <c r="R257" s="148"/>
      <c r="T257" s="147"/>
      <c r="U257" s="147"/>
      <c r="V257" s="143"/>
    </row>
    <row r="258" spans="2:22" s="18" customFormat="1" ht="12.75">
      <c r="B258" s="145"/>
      <c r="C258" s="146"/>
      <c r="D258" s="147"/>
      <c r="K258" s="145"/>
      <c r="L258" s="145"/>
      <c r="M258" s="145"/>
      <c r="N258" s="145"/>
      <c r="O258" s="148"/>
      <c r="P258" s="148"/>
      <c r="Q258" s="148"/>
      <c r="R258" s="148"/>
      <c r="T258" s="147"/>
      <c r="U258" s="147"/>
      <c r="V258" s="143"/>
    </row>
    <row r="259" spans="2:22" s="18" customFormat="1" ht="12.75">
      <c r="B259" s="145"/>
      <c r="C259" s="146"/>
      <c r="D259" s="147"/>
      <c r="K259" s="145"/>
      <c r="L259" s="145"/>
      <c r="M259" s="145"/>
      <c r="N259" s="145"/>
      <c r="O259" s="148"/>
      <c r="P259" s="148"/>
      <c r="Q259" s="148"/>
      <c r="R259" s="148"/>
      <c r="T259" s="147"/>
      <c r="U259" s="147"/>
      <c r="V259" s="143"/>
    </row>
    <row r="260" spans="2:22" s="18" customFormat="1" ht="12.75">
      <c r="B260" s="145"/>
      <c r="C260" s="146"/>
      <c r="D260" s="147"/>
      <c r="K260" s="145"/>
      <c r="L260" s="145"/>
      <c r="M260" s="145"/>
      <c r="N260" s="145"/>
      <c r="O260" s="148"/>
      <c r="P260" s="148"/>
      <c r="Q260" s="148"/>
      <c r="R260" s="148"/>
      <c r="T260" s="147"/>
      <c r="U260" s="147"/>
      <c r="V260" s="143"/>
    </row>
    <row r="261" spans="2:22" s="18" customFormat="1" ht="12.75">
      <c r="B261" s="145"/>
      <c r="C261" s="146"/>
      <c r="D261" s="147"/>
      <c r="K261" s="145"/>
      <c r="L261" s="145"/>
      <c r="M261" s="145"/>
      <c r="N261" s="145"/>
      <c r="O261" s="148"/>
      <c r="P261" s="148"/>
      <c r="Q261" s="148"/>
      <c r="R261" s="148"/>
      <c r="T261" s="147"/>
      <c r="U261" s="147"/>
      <c r="V261" s="143"/>
    </row>
    <row r="262" spans="2:22" s="18" customFormat="1" ht="12.75">
      <c r="B262" s="145"/>
      <c r="C262" s="146"/>
      <c r="D262" s="147"/>
      <c r="K262" s="145"/>
      <c r="L262" s="145"/>
      <c r="M262" s="145"/>
      <c r="N262" s="145"/>
      <c r="O262" s="148"/>
      <c r="P262" s="148"/>
      <c r="Q262" s="148"/>
      <c r="R262" s="148"/>
      <c r="T262" s="147"/>
      <c r="U262" s="147"/>
      <c r="V262" s="143"/>
    </row>
    <row r="263" spans="2:22" s="18" customFormat="1" ht="12.75">
      <c r="B263" s="145"/>
      <c r="C263" s="164"/>
      <c r="D263" s="147"/>
      <c r="K263" s="145"/>
      <c r="L263" s="145"/>
      <c r="M263" s="145"/>
      <c r="N263" s="145"/>
      <c r="O263" s="148"/>
      <c r="P263" s="148"/>
      <c r="Q263" s="148"/>
      <c r="R263" s="148"/>
      <c r="T263" s="147"/>
      <c r="U263" s="147"/>
      <c r="V263" s="143"/>
    </row>
    <row r="264" spans="2:22" s="18" customFormat="1" ht="12.75">
      <c r="B264" s="145"/>
      <c r="C264" s="164"/>
      <c r="D264" s="147"/>
      <c r="K264" s="145"/>
      <c r="L264" s="145"/>
      <c r="M264" s="145"/>
      <c r="N264" s="145"/>
      <c r="O264" s="148"/>
      <c r="P264" s="148"/>
      <c r="Q264" s="148"/>
      <c r="R264" s="148"/>
      <c r="T264" s="147"/>
      <c r="U264" s="147"/>
      <c r="V264" s="143"/>
    </row>
    <row r="265" spans="2:22" s="18" customFormat="1" ht="12.75">
      <c r="B265" s="145"/>
      <c r="C265" s="164"/>
      <c r="D265" s="147"/>
      <c r="K265" s="145"/>
      <c r="L265" s="145"/>
      <c r="M265" s="145"/>
      <c r="N265" s="145"/>
      <c r="O265" s="148"/>
      <c r="P265" s="148"/>
      <c r="Q265" s="148"/>
      <c r="R265" s="148"/>
      <c r="T265" s="147"/>
      <c r="U265" s="147"/>
      <c r="V265" s="143"/>
    </row>
    <row r="266" spans="2:22" s="18" customFormat="1" ht="12.75">
      <c r="B266" s="145"/>
      <c r="C266" s="164"/>
      <c r="D266" s="147"/>
      <c r="K266" s="145"/>
      <c r="L266" s="145"/>
      <c r="M266" s="145"/>
      <c r="N266" s="145"/>
      <c r="O266" s="148"/>
      <c r="P266" s="148"/>
      <c r="Q266" s="148"/>
      <c r="R266" s="148"/>
      <c r="T266" s="147"/>
      <c r="U266" s="147"/>
      <c r="V266" s="143"/>
    </row>
    <row r="267" spans="2:22" s="18" customFormat="1" ht="12.75">
      <c r="B267" s="145"/>
      <c r="C267" s="164"/>
      <c r="D267" s="147"/>
      <c r="K267" s="145"/>
      <c r="L267" s="145"/>
      <c r="M267" s="145"/>
      <c r="N267" s="145"/>
      <c r="O267" s="148"/>
      <c r="P267" s="148"/>
      <c r="Q267" s="148"/>
      <c r="R267" s="148"/>
      <c r="T267" s="147"/>
      <c r="U267" s="147"/>
      <c r="V267" s="143"/>
    </row>
    <row r="268" spans="2:22" s="18" customFormat="1" ht="12.75">
      <c r="B268" s="145"/>
      <c r="C268" s="164"/>
      <c r="D268" s="147"/>
      <c r="K268" s="145"/>
      <c r="L268" s="145"/>
      <c r="M268" s="145"/>
      <c r="N268" s="145"/>
      <c r="O268" s="148"/>
      <c r="P268" s="148"/>
      <c r="Q268" s="148"/>
      <c r="R268" s="148"/>
      <c r="T268" s="147"/>
      <c r="U268" s="147"/>
      <c r="V268" s="143"/>
    </row>
    <row r="269" spans="2:22" s="18" customFormat="1" ht="12.75">
      <c r="B269" s="145"/>
      <c r="C269" s="164"/>
      <c r="D269" s="147"/>
      <c r="K269" s="145"/>
      <c r="L269" s="145"/>
      <c r="M269" s="145"/>
      <c r="N269" s="145"/>
      <c r="O269" s="148"/>
      <c r="P269" s="148"/>
      <c r="Q269" s="148"/>
      <c r="R269" s="148"/>
      <c r="T269" s="147"/>
      <c r="U269" s="147"/>
      <c r="V269" s="143"/>
    </row>
    <row r="270" spans="2:22" s="18" customFormat="1" ht="12.75">
      <c r="B270" s="145"/>
      <c r="C270" s="164"/>
      <c r="D270" s="147"/>
      <c r="K270" s="145"/>
      <c r="L270" s="145"/>
      <c r="M270" s="145"/>
      <c r="N270" s="145"/>
      <c r="O270" s="148"/>
      <c r="P270" s="148"/>
      <c r="Q270" s="148"/>
      <c r="R270" s="148"/>
      <c r="T270" s="147"/>
      <c r="U270" s="147"/>
      <c r="V270" s="143"/>
    </row>
    <row r="271" spans="2:22" s="18" customFormat="1" ht="12.75">
      <c r="B271" s="145"/>
      <c r="C271" s="164"/>
      <c r="D271" s="147"/>
      <c r="K271" s="145"/>
      <c r="L271" s="145"/>
      <c r="M271" s="145"/>
      <c r="N271" s="145"/>
      <c r="O271" s="148"/>
      <c r="P271" s="148"/>
      <c r="Q271" s="148"/>
      <c r="R271" s="148"/>
      <c r="T271" s="147"/>
      <c r="U271" s="147"/>
      <c r="V271" s="143"/>
    </row>
    <row r="272" spans="2:22" s="18" customFormat="1" ht="12.75">
      <c r="B272" s="145"/>
      <c r="C272" s="164"/>
      <c r="D272" s="147"/>
      <c r="K272" s="145"/>
      <c r="L272" s="145"/>
      <c r="M272" s="145"/>
      <c r="N272" s="145"/>
      <c r="O272" s="148"/>
      <c r="P272" s="148"/>
      <c r="Q272" s="148"/>
      <c r="R272" s="148"/>
      <c r="T272" s="147"/>
      <c r="U272" s="147"/>
      <c r="V272" s="143"/>
    </row>
    <row r="273" spans="2:22" s="18" customFormat="1" ht="12.75">
      <c r="B273" s="145"/>
      <c r="C273" s="164"/>
      <c r="D273" s="147"/>
      <c r="K273" s="145"/>
      <c r="L273" s="145"/>
      <c r="M273" s="145"/>
      <c r="N273" s="145"/>
      <c r="O273" s="148"/>
      <c r="P273" s="148"/>
      <c r="Q273" s="148"/>
      <c r="R273" s="148"/>
      <c r="T273" s="147"/>
      <c r="U273" s="147"/>
      <c r="V273" s="143"/>
    </row>
    <row r="274" spans="2:22" s="18" customFormat="1" ht="12.75">
      <c r="B274" s="145"/>
      <c r="C274" s="164"/>
      <c r="D274" s="147"/>
      <c r="K274" s="145"/>
      <c r="L274" s="145"/>
      <c r="M274" s="145"/>
      <c r="N274" s="145"/>
      <c r="O274" s="148"/>
      <c r="P274" s="148"/>
      <c r="Q274" s="148"/>
      <c r="R274" s="148"/>
      <c r="T274" s="147"/>
      <c r="U274" s="147"/>
      <c r="V274" s="143"/>
    </row>
    <row r="275" spans="2:22" s="18" customFormat="1" ht="12.75">
      <c r="B275" s="145"/>
      <c r="C275" s="164"/>
      <c r="D275" s="147"/>
      <c r="K275" s="145"/>
      <c r="L275" s="145"/>
      <c r="M275" s="145"/>
      <c r="N275" s="145"/>
      <c r="O275" s="148"/>
      <c r="P275" s="148"/>
      <c r="Q275" s="148"/>
      <c r="R275" s="148"/>
      <c r="T275" s="147"/>
      <c r="U275" s="147"/>
      <c r="V275" s="143"/>
    </row>
    <row r="276" spans="2:22" s="18" customFormat="1" ht="12.75">
      <c r="B276" s="145"/>
      <c r="C276" s="164"/>
      <c r="D276" s="147"/>
      <c r="K276" s="145"/>
      <c r="L276" s="145"/>
      <c r="M276" s="145"/>
      <c r="N276" s="145"/>
      <c r="O276" s="148"/>
      <c r="P276" s="148"/>
      <c r="Q276" s="148"/>
      <c r="R276" s="148"/>
      <c r="T276" s="147"/>
      <c r="U276" s="147"/>
      <c r="V276" s="143"/>
    </row>
    <row r="277" spans="2:22" s="18" customFormat="1" ht="12.75">
      <c r="B277" s="145"/>
      <c r="C277" s="164"/>
      <c r="D277" s="147"/>
      <c r="K277" s="145"/>
      <c r="L277" s="145"/>
      <c r="M277" s="145"/>
      <c r="N277" s="145"/>
      <c r="O277" s="148"/>
      <c r="P277" s="148"/>
      <c r="Q277" s="148"/>
      <c r="R277" s="148"/>
      <c r="T277" s="147"/>
      <c r="U277" s="147"/>
      <c r="V277" s="143"/>
    </row>
    <row r="278" spans="2:22" s="18" customFormat="1" ht="15">
      <c r="B278" s="145"/>
      <c r="C278" s="151"/>
      <c r="D278" s="147"/>
      <c r="K278" s="145"/>
      <c r="L278" s="145"/>
      <c r="M278" s="145"/>
      <c r="N278" s="145"/>
      <c r="O278" s="148"/>
      <c r="P278" s="148"/>
      <c r="Q278" s="148"/>
      <c r="R278" s="148"/>
      <c r="T278" s="147"/>
      <c r="U278" s="147"/>
      <c r="V278" s="143"/>
    </row>
    <row r="279" spans="2:22" s="18" customFormat="1" ht="15">
      <c r="B279" s="145"/>
      <c r="C279" s="151"/>
      <c r="D279" s="147"/>
      <c r="K279" s="145"/>
      <c r="L279" s="145"/>
      <c r="M279" s="145"/>
      <c r="N279" s="145"/>
      <c r="O279" s="148"/>
      <c r="P279" s="148"/>
      <c r="Q279" s="148"/>
      <c r="R279" s="148"/>
      <c r="T279" s="147"/>
      <c r="U279" s="147"/>
      <c r="V279" s="143"/>
    </row>
    <row r="280" spans="2:22" s="18" customFormat="1" ht="15">
      <c r="B280" s="145"/>
      <c r="C280" s="151"/>
      <c r="D280" s="147"/>
      <c r="K280" s="145"/>
      <c r="L280" s="145"/>
      <c r="M280" s="145"/>
      <c r="N280" s="145"/>
      <c r="O280" s="148"/>
      <c r="P280" s="148"/>
      <c r="Q280" s="148"/>
      <c r="R280" s="148"/>
      <c r="T280" s="147"/>
      <c r="U280" s="147"/>
      <c r="V280" s="143"/>
    </row>
    <row r="281" spans="2:22" s="18" customFormat="1" ht="15">
      <c r="B281" s="145"/>
      <c r="C281" s="151"/>
      <c r="D281" s="147"/>
      <c r="K281" s="145"/>
      <c r="L281" s="145"/>
      <c r="M281" s="145"/>
      <c r="N281" s="145"/>
      <c r="O281" s="148"/>
      <c r="P281" s="148"/>
      <c r="Q281" s="148"/>
      <c r="R281" s="148"/>
      <c r="T281" s="147"/>
      <c r="U281" s="147"/>
      <c r="V281" s="143"/>
    </row>
    <row r="282" spans="2:22" s="18" customFormat="1" ht="15">
      <c r="B282" s="145"/>
      <c r="C282" s="151"/>
      <c r="D282" s="147"/>
      <c r="K282" s="145"/>
      <c r="L282" s="145"/>
      <c r="M282" s="145"/>
      <c r="N282" s="145"/>
      <c r="O282" s="148"/>
      <c r="P282" s="148"/>
      <c r="Q282" s="148"/>
      <c r="R282" s="148"/>
      <c r="T282" s="147"/>
      <c r="U282" s="147"/>
      <c r="V282" s="143"/>
    </row>
    <row r="283" spans="2:22" s="18" customFormat="1" ht="15">
      <c r="B283" s="145"/>
      <c r="C283" s="151"/>
      <c r="D283" s="147"/>
      <c r="K283" s="145"/>
      <c r="L283" s="145"/>
      <c r="M283" s="145"/>
      <c r="N283" s="145"/>
      <c r="O283" s="148"/>
      <c r="P283" s="148"/>
      <c r="Q283" s="148"/>
      <c r="R283" s="148"/>
      <c r="T283" s="147"/>
      <c r="U283" s="147"/>
      <c r="V283" s="143"/>
    </row>
    <row r="284" spans="2:22" s="18" customFormat="1" ht="15">
      <c r="B284" s="145"/>
      <c r="C284" s="151"/>
      <c r="D284" s="147"/>
      <c r="K284" s="145"/>
      <c r="L284" s="145"/>
      <c r="M284" s="145"/>
      <c r="N284" s="145"/>
      <c r="O284" s="148"/>
      <c r="P284" s="148"/>
      <c r="Q284" s="148"/>
      <c r="R284" s="148"/>
      <c r="T284" s="147"/>
      <c r="U284" s="147"/>
      <c r="V284" s="143"/>
    </row>
    <row r="285" spans="2:22" s="18" customFormat="1" ht="15">
      <c r="B285" s="145"/>
      <c r="C285" s="151"/>
      <c r="D285" s="147"/>
      <c r="K285" s="145"/>
      <c r="L285" s="145"/>
      <c r="M285" s="145"/>
      <c r="N285" s="145"/>
      <c r="O285" s="148"/>
      <c r="P285" s="148"/>
      <c r="Q285" s="148"/>
      <c r="R285" s="148"/>
      <c r="T285" s="147"/>
      <c r="U285" s="147"/>
      <c r="V285" s="143"/>
    </row>
    <row r="286" spans="2:22" s="18" customFormat="1" ht="15">
      <c r="B286" s="145"/>
      <c r="C286" s="151"/>
      <c r="D286" s="147"/>
      <c r="K286" s="145"/>
      <c r="L286" s="145"/>
      <c r="M286" s="145"/>
      <c r="N286" s="145"/>
      <c r="O286" s="148"/>
      <c r="P286" s="148"/>
      <c r="Q286" s="148"/>
      <c r="R286" s="148"/>
      <c r="T286" s="147"/>
      <c r="U286" s="147"/>
      <c r="V286" s="143"/>
    </row>
    <row r="287" spans="2:22" s="18" customFormat="1" ht="15">
      <c r="B287" s="145"/>
      <c r="C287" s="151"/>
      <c r="D287" s="147"/>
      <c r="K287" s="145"/>
      <c r="L287" s="145"/>
      <c r="M287" s="145"/>
      <c r="N287" s="145"/>
      <c r="O287" s="148"/>
      <c r="P287" s="148"/>
      <c r="Q287" s="148"/>
      <c r="R287" s="148"/>
      <c r="T287" s="147"/>
      <c r="U287" s="147"/>
      <c r="V287" s="143"/>
    </row>
    <row r="288" spans="2:22" s="18" customFormat="1" ht="15">
      <c r="B288" s="145"/>
      <c r="C288" s="151"/>
      <c r="D288" s="147"/>
      <c r="K288" s="145"/>
      <c r="L288" s="145"/>
      <c r="M288" s="145"/>
      <c r="N288" s="145"/>
      <c r="O288" s="148"/>
      <c r="P288" s="148"/>
      <c r="Q288" s="148"/>
      <c r="R288" s="148"/>
      <c r="T288" s="147"/>
      <c r="U288" s="147"/>
      <c r="V288" s="143"/>
    </row>
    <row r="289" spans="2:22" s="18" customFormat="1" ht="15">
      <c r="B289" s="145"/>
      <c r="C289" s="151"/>
      <c r="D289" s="147"/>
      <c r="K289" s="145"/>
      <c r="L289" s="145"/>
      <c r="M289" s="145"/>
      <c r="N289" s="145"/>
      <c r="O289" s="148"/>
      <c r="P289" s="148"/>
      <c r="Q289" s="148"/>
      <c r="R289" s="148"/>
      <c r="T289" s="147"/>
      <c r="U289" s="147"/>
      <c r="V289" s="143"/>
    </row>
    <row r="290" spans="2:22" s="18" customFormat="1" ht="15">
      <c r="B290" s="145"/>
      <c r="C290" s="151"/>
      <c r="D290" s="147"/>
      <c r="K290" s="145"/>
      <c r="L290" s="145"/>
      <c r="M290" s="145"/>
      <c r="N290" s="145"/>
      <c r="O290" s="148"/>
      <c r="P290" s="148"/>
      <c r="Q290" s="148"/>
      <c r="R290" s="148"/>
      <c r="T290" s="147"/>
      <c r="U290" s="147"/>
      <c r="V290" s="143"/>
    </row>
    <row r="291" spans="2:22" s="18" customFormat="1" ht="15">
      <c r="B291" s="145"/>
      <c r="C291" s="151"/>
      <c r="D291" s="147"/>
      <c r="K291" s="145"/>
      <c r="L291" s="145"/>
      <c r="M291" s="145"/>
      <c r="N291" s="145"/>
      <c r="O291" s="148"/>
      <c r="P291" s="148"/>
      <c r="Q291" s="148"/>
      <c r="R291" s="148"/>
      <c r="T291" s="147"/>
      <c r="U291" s="147"/>
      <c r="V291" s="143"/>
    </row>
    <row r="292" spans="2:22" s="18" customFormat="1" ht="12.75">
      <c r="B292" s="145"/>
      <c r="C292" s="146"/>
      <c r="D292" s="147"/>
      <c r="K292" s="145"/>
      <c r="L292" s="145"/>
      <c r="M292" s="145"/>
      <c r="N292" s="145"/>
      <c r="O292" s="148"/>
      <c r="P292" s="148"/>
      <c r="Q292" s="148"/>
      <c r="R292" s="148"/>
      <c r="T292" s="147"/>
      <c r="U292" s="147"/>
      <c r="V292" s="143"/>
    </row>
    <row r="293" spans="2:22" s="18" customFormat="1" ht="12.75">
      <c r="B293" s="145"/>
      <c r="C293" s="146"/>
      <c r="D293" s="147"/>
      <c r="K293" s="145"/>
      <c r="L293" s="145"/>
      <c r="M293" s="145"/>
      <c r="N293" s="145"/>
      <c r="O293" s="148"/>
      <c r="P293" s="148"/>
      <c r="Q293" s="148"/>
      <c r="R293" s="148"/>
      <c r="T293" s="147"/>
      <c r="U293" s="147"/>
      <c r="V293" s="143"/>
    </row>
    <row r="294" spans="2:22" s="18" customFormat="1" ht="12.75">
      <c r="B294" s="145"/>
      <c r="C294" s="146"/>
      <c r="D294" s="147"/>
      <c r="K294" s="145"/>
      <c r="L294" s="145"/>
      <c r="M294" s="145"/>
      <c r="N294" s="145"/>
      <c r="O294" s="148"/>
      <c r="P294" s="148"/>
      <c r="Q294" s="148"/>
      <c r="R294" s="148"/>
      <c r="T294" s="147"/>
      <c r="U294" s="147"/>
      <c r="V294" s="143"/>
    </row>
    <row r="295" spans="2:22" s="18" customFormat="1" ht="12.75">
      <c r="B295" s="145"/>
      <c r="C295" s="146"/>
      <c r="D295" s="147"/>
      <c r="K295" s="145"/>
      <c r="L295" s="145"/>
      <c r="M295" s="145"/>
      <c r="N295" s="145"/>
      <c r="O295" s="148"/>
      <c r="P295" s="148"/>
      <c r="Q295" s="148"/>
      <c r="R295" s="148"/>
      <c r="T295" s="147"/>
      <c r="U295" s="147"/>
      <c r="V295" s="143"/>
    </row>
    <row r="296" spans="2:22" s="18" customFormat="1" ht="12.75">
      <c r="B296" s="145"/>
      <c r="C296" s="146"/>
      <c r="D296" s="147"/>
      <c r="K296" s="145"/>
      <c r="L296" s="145"/>
      <c r="M296" s="145"/>
      <c r="N296" s="145"/>
      <c r="O296" s="148"/>
      <c r="P296" s="148"/>
      <c r="Q296" s="148"/>
      <c r="R296" s="148"/>
      <c r="T296" s="147"/>
      <c r="U296" s="147"/>
      <c r="V296" s="143"/>
    </row>
    <row r="297" spans="2:22" s="18" customFormat="1" ht="12.75">
      <c r="B297" s="145"/>
      <c r="C297" s="146"/>
      <c r="D297" s="147"/>
      <c r="K297" s="145"/>
      <c r="L297" s="145"/>
      <c r="M297" s="145"/>
      <c r="N297" s="145"/>
      <c r="O297" s="148"/>
      <c r="P297" s="148"/>
      <c r="Q297" s="148"/>
      <c r="R297" s="148"/>
      <c r="T297" s="147"/>
      <c r="U297" s="147"/>
      <c r="V297" s="143"/>
    </row>
    <row r="298" spans="2:22" s="18" customFormat="1" ht="12.75">
      <c r="B298" s="145"/>
      <c r="C298" s="146"/>
      <c r="D298" s="147"/>
      <c r="K298" s="145"/>
      <c r="L298" s="145"/>
      <c r="M298" s="145"/>
      <c r="N298" s="145"/>
      <c r="O298" s="148"/>
      <c r="P298" s="148"/>
      <c r="Q298" s="148"/>
      <c r="R298" s="148"/>
      <c r="T298" s="147"/>
      <c r="U298" s="147"/>
      <c r="V298" s="143"/>
    </row>
    <row r="299" spans="2:22" s="18" customFormat="1" ht="12.75">
      <c r="B299" s="145"/>
      <c r="C299" s="146"/>
      <c r="D299" s="147"/>
      <c r="K299" s="145"/>
      <c r="L299" s="145"/>
      <c r="M299" s="145"/>
      <c r="N299" s="145"/>
      <c r="O299" s="148"/>
      <c r="P299" s="148"/>
      <c r="Q299" s="148"/>
      <c r="R299" s="148"/>
      <c r="T299" s="147"/>
      <c r="U299" s="147"/>
      <c r="V299" s="143"/>
    </row>
    <row r="300" spans="2:22" s="18" customFormat="1" ht="12.75">
      <c r="B300" s="145"/>
      <c r="C300" s="146"/>
      <c r="D300" s="147"/>
      <c r="K300" s="145"/>
      <c r="L300" s="145"/>
      <c r="M300" s="145"/>
      <c r="N300" s="145"/>
      <c r="O300" s="148"/>
      <c r="P300" s="148"/>
      <c r="Q300" s="148"/>
      <c r="R300" s="148"/>
      <c r="T300" s="147"/>
      <c r="U300" s="147"/>
      <c r="V300" s="143"/>
    </row>
    <row r="301" spans="2:22" s="18" customFormat="1" ht="12.75">
      <c r="B301" s="145"/>
      <c r="C301" s="146"/>
      <c r="D301" s="147"/>
      <c r="K301" s="145"/>
      <c r="L301" s="145"/>
      <c r="M301" s="145"/>
      <c r="N301" s="145"/>
      <c r="O301" s="148"/>
      <c r="P301" s="148"/>
      <c r="Q301" s="148"/>
      <c r="R301" s="148"/>
      <c r="T301" s="147"/>
      <c r="U301" s="147"/>
      <c r="V301" s="143"/>
    </row>
    <row r="302" spans="2:22" s="18" customFormat="1" ht="12.75">
      <c r="B302" s="145"/>
      <c r="C302" s="146"/>
      <c r="D302" s="147"/>
      <c r="K302" s="145"/>
      <c r="L302" s="145"/>
      <c r="M302" s="145"/>
      <c r="N302" s="145"/>
      <c r="O302" s="148"/>
      <c r="P302" s="148"/>
      <c r="Q302" s="148"/>
      <c r="R302" s="148"/>
      <c r="T302" s="147"/>
      <c r="U302" s="147"/>
      <c r="V302" s="143"/>
    </row>
    <row r="303" spans="2:22" s="18" customFormat="1" ht="12.75">
      <c r="B303" s="145"/>
      <c r="C303" s="146"/>
      <c r="D303" s="147"/>
      <c r="K303" s="145"/>
      <c r="L303" s="145"/>
      <c r="M303" s="145"/>
      <c r="N303" s="145"/>
      <c r="O303" s="148"/>
      <c r="P303" s="148"/>
      <c r="Q303" s="148"/>
      <c r="R303" s="148"/>
      <c r="T303" s="147"/>
      <c r="U303" s="147"/>
      <c r="V303" s="143"/>
    </row>
    <row r="304" spans="2:22" s="18" customFormat="1" ht="12.75">
      <c r="B304" s="145"/>
      <c r="C304" s="146"/>
      <c r="D304" s="147"/>
      <c r="K304" s="145"/>
      <c r="L304" s="145"/>
      <c r="M304" s="145"/>
      <c r="N304" s="145"/>
      <c r="O304" s="148"/>
      <c r="P304" s="148"/>
      <c r="Q304" s="148"/>
      <c r="R304" s="148"/>
      <c r="T304" s="147"/>
      <c r="U304" s="147"/>
      <c r="V304" s="143"/>
    </row>
    <row r="305" spans="2:22" s="18" customFormat="1" ht="12.75">
      <c r="B305" s="145"/>
      <c r="C305" s="146"/>
      <c r="D305" s="147"/>
      <c r="K305" s="145"/>
      <c r="L305" s="145"/>
      <c r="M305" s="145"/>
      <c r="N305" s="145"/>
      <c r="O305" s="148"/>
      <c r="P305" s="148"/>
      <c r="Q305" s="148"/>
      <c r="R305" s="148"/>
      <c r="T305" s="147"/>
      <c r="U305" s="147"/>
      <c r="V305" s="143"/>
    </row>
    <row r="306" spans="2:22" s="18" customFormat="1" ht="12.75">
      <c r="B306" s="145"/>
      <c r="C306" s="146"/>
      <c r="D306" s="147"/>
      <c r="K306" s="145"/>
      <c r="L306" s="145"/>
      <c r="M306" s="145"/>
      <c r="N306" s="145"/>
      <c r="O306" s="148"/>
      <c r="P306" s="148"/>
      <c r="Q306" s="148"/>
      <c r="R306" s="148"/>
      <c r="T306" s="147"/>
      <c r="U306" s="147"/>
      <c r="V306" s="143"/>
    </row>
    <row r="307" spans="2:22" s="18" customFormat="1" ht="12.75">
      <c r="B307" s="145"/>
      <c r="C307" s="146"/>
      <c r="D307" s="147"/>
      <c r="K307" s="145"/>
      <c r="L307" s="145"/>
      <c r="M307" s="145"/>
      <c r="N307" s="145"/>
      <c r="O307" s="148"/>
      <c r="P307" s="148"/>
      <c r="Q307" s="148"/>
      <c r="R307" s="148"/>
      <c r="T307" s="147"/>
      <c r="U307" s="147"/>
      <c r="V307" s="143"/>
    </row>
    <row r="308" spans="2:22" s="18" customFormat="1" ht="12.75">
      <c r="B308" s="145"/>
      <c r="C308" s="146"/>
      <c r="D308" s="147"/>
      <c r="K308" s="145"/>
      <c r="L308" s="145"/>
      <c r="M308" s="145"/>
      <c r="N308" s="145"/>
      <c r="O308" s="148"/>
      <c r="P308" s="148"/>
      <c r="Q308" s="148"/>
      <c r="R308" s="148"/>
      <c r="T308" s="147"/>
      <c r="U308" s="147"/>
      <c r="V308" s="143"/>
    </row>
    <row r="309" spans="2:22" s="18" customFormat="1" ht="12.75">
      <c r="B309" s="145"/>
      <c r="C309" s="146"/>
      <c r="D309" s="147"/>
      <c r="K309" s="145"/>
      <c r="L309" s="145"/>
      <c r="M309" s="145"/>
      <c r="N309" s="145"/>
      <c r="O309" s="148"/>
      <c r="P309" s="148"/>
      <c r="Q309" s="148"/>
      <c r="R309" s="148"/>
      <c r="T309" s="147"/>
      <c r="U309" s="147"/>
      <c r="V309" s="143"/>
    </row>
    <row r="310" spans="2:22" s="18" customFormat="1" ht="12.75">
      <c r="B310" s="145"/>
      <c r="C310" s="146"/>
      <c r="D310" s="147"/>
      <c r="K310" s="145"/>
      <c r="L310" s="145"/>
      <c r="M310" s="145"/>
      <c r="N310" s="145"/>
      <c r="O310" s="148"/>
      <c r="P310" s="148"/>
      <c r="Q310" s="148"/>
      <c r="R310" s="148"/>
      <c r="T310" s="147"/>
      <c r="U310" s="147"/>
      <c r="V310" s="143"/>
    </row>
    <row r="311" spans="2:22" s="18" customFormat="1" ht="12.75">
      <c r="B311" s="145"/>
      <c r="C311" s="146"/>
      <c r="D311" s="147"/>
      <c r="K311" s="145"/>
      <c r="L311" s="145"/>
      <c r="M311" s="145"/>
      <c r="N311" s="145"/>
      <c r="O311" s="148"/>
      <c r="P311" s="148"/>
      <c r="Q311" s="148"/>
      <c r="R311" s="148"/>
      <c r="T311" s="147"/>
      <c r="U311" s="147"/>
      <c r="V311" s="143"/>
    </row>
    <row r="312" spans="2:22" s="18" customFormat="1" ht="12.75">
      <c r="B312" s="145"/>
      <c r="C312" s="146"/>
      <c r="D312" s="147"/>
      <c r="K312" s="145"/>
      <c r="L312" s="145"/>
      <c r="M312" s="145"/>
      <c r="N312" s="145"/>
      <c r="O312" s="148"/>
      <c r="P312" s="148"/>
      <c r="Q312" s="148"/>
      <c r="R312" s="148"/>
      <c r="T312" s="147"/>
      <c r="U312" s="147"/>
      <c r="V312" s="143"/>
    </row>
    <row r="313" spans="2:22" s="18" customFormat="1" ht="12.75">
      <c r="B313" s="145"/>
      <c r="C313" s="146"/>
      <c r="D313" s="147"/>
      <c r="K313" s="145"/>
      <c r="L313" s="145"/>
      <c r="M313" s="145"/>
      <c r="N313" s="145"/>
      <c r="O313" s="148"/>
      <c r="P313" s="148"/>
      <c r="Q313" s="148"/>
      <c r="R313" s="148"/>
      <c r="T313" s="147"/>
      <c r="U313" s="147"/>
      <c r="V313" s="143"/>
    </row>
    <row r="314" spans="2:22" s="18" customFormat="1" ht="12.75">
      <c r="B314" s="145"/>
      <c r="C314" s="146"/>
      <c r="D314" s="147"/>
      <c r="K314" s="145"/>
      <c r="L314" s="145"/>
      <c r="M314" s="145"/>
      <c r="N314" s="145"/>
      <c r="O314" s="148"/>
      <c r="P314" s="148"/>
      <c r="Q314" s="148"/>
      <c r="R314" s="148"/>
      <c r="T314" s="147"/>
      <c r="U314" s="147"/>
      <c r="V314" s="143"/>
    </row>
    <row r="315" spans="2:22" s="18" customFormat="1" ht="12.75">
      <c r="B315" s="145"/>
      <c r="C315" s="146"/>
      <c r="D315" s="147"/>
      <c r="K315" s="145"/>
      <c r="L315" s="145"/>
      <c r="M315" s="145"/>
      <c r="N315" s="145"/>
      <c r="O315" s="148"/>
      <c r="P315" s="148"/>
      <c r="Q315" s="148"/>
      <c r="R315" s="148"/>
      <c r="T315" s="147"/>
      <c r="U315" s="147"/>
      <c r="V315" s="143"/>
    </row>
    <row r="316" spans="2:22" s="18" customFormat="1" ht="12.75">
      <c r="B316" s="145"/>
      <c r="C316" s="146"/>
      <c r="D316" s="147"/>
      <c r="K316" s="145"/>
      <c r="L316" s="145"/>
      <c r="M316" s="145"/>
      <c r="N316" s="145"/>
      <c r="O316" s="148"/>
      <c r="P316" s="148"/>
      <c r="Q316" s="148"/>
      <c r="R316" s="148"/>
      <c r="T316" s="147"/>
      <c r="U316" s="147"/>
      <c r="V316" s="143"/>
    </row>
    <row r="317" spans="2:22" s="18" customFormat="1" ht="12.75">
      <c r="B317" s="145"/>
      <c r="C317" s="146"/>
      <c r="D317" s="147"/>
      <c r="K317" s="145"/>
      <c r="L317" s="145"/>
      <c r="M317" s="145"/>
      <c r="N317" s="145"/>
      <c r="O317" s="148"/>
      <c r="P317" s="148"/>
      <c r="Q317" s="148"/>
      <c r="R317" s="148"/>
      <c r="T317" s="147"/>
      <c r="U317" s="147"/>
      <c r="V317" s="143"/>
    </row>
    <row r="318" spans="2:22" s="18" customFormat="1" ht="12.75">
      <c r="B318" s="145"/>
      <c r="C318" s="146"/>
      <c r="D318" s="147"/>
      <c r="K318" s="145"/>
      <c r="L318" s="145"/>
      <c r="M318" s="145"/>
      <c r="N318" s="145"/>
      <c r="O318" s="148"/>
      <c r="P318" s="148"/>
      <c r="Q318" s="148"/>
      <c r="R318" s="148"/>
      <c r="T318" s="147"/>
      <c r="U318" s="147"/>
      <c r="V318" s="143"/>
    </row>
    <row r="319" spans="2:22" s="18" customFormat="1" ht="12.75">
      <c r="B319" s="145"/>
      <c r="C319" s="146"/>
      <c r="D319" s="147"/>
      <c r="K319" s="145"/>
      <c r="L319" s="145"/>
      <c r="M319" s="145"/>
      <c r="N319" s="145"/>
      <c r="O319" s="148"/>
      <c r="P319" s="148"/>
      <c r="Q319" s="148"/>
      <c r="R319" s="148"/>
      <c r="T319" s="147"/>
      <c r="U319" s="147"/>
      <c r="V319" s="143"/>
    </row>
    <row r="320" spans="2:22" s="18" customFormat="1" ht="12.75">
      <c r="B320" s="145"/>
      <c r="C320" s="146"/>
      <c r="D320" s="147"/>
      <c r="K320" s="145"/>
      <c r="L320" s="145"/>
      <c r="M320" s="145"/>
      <c r="N320" s="145"/>
      <c r="O320" s="148"/>
      <c r="P320" s="148"/>
      <c r="Q320" s="148"/>
      <c r="R320" s="148"/>
      <c r="T320" s="147"/>
      <c r="U320" s="147"/>
      <c r="V320" s="143"/>
    </row>
    <row r="321" spans="2:22" s="18" customFormat="1" ht="12.75">
      <c r="B321" s="145"/>
      <c r="C321" s="146"/>
      <c r="D321" s="147"/>
      <c r="K321" s="145"/>
      <c r="L321" s="145"/>
      <c r="M321" s="145"/>
      <c r="N321" s="145"/>
      <c r="O321" s="148"/>
      <c r="P321" s="148"/>
      <c r="Q321" s="148"/>
      <c r="R321" s="148"/>
      <c r="T321" s="147"/>
      <c r="U321" s="147"/>
      <c r="V321" s="143"/>
    </row>
    <row r="322" spans="2:22" s="18" customFormat="1" ht="12.75">
      <c r="B322" s="145"/>
      <c r="C322" s="146"/>
      <c r="D322" s="147"/>
      <c r="K322" s="145"/>
      <c r="L322" s="145"/>
      <c r="M322" s="145"/>
      <c r="N322" s="145"/>
      <c r="O322" s="148"/>
      <c r="P322" s="148"/>
      <c r="Q322" s="148"/>
      <c r="R322" s="148"/>
      <c r="T322" s="147"/>
      <c r="U322" s="147"/>
      <c r="V322" s="143"/>
    </row>
    <row r="323" spans="2:22" s="18" customFormat="1" ht="12.75">
      <c r="B323" s="145"/>
      <c r="C323" s="146"/>
      <c r="D323" s="147"/>
      <c r="K323" s="145"/>
      <c r="L323" s="145"/>
      <c r="M323" s="145"/>
      <c r="N323" s="145"/>
      <c r="O323" s="148"/>
      <c r="P323" s="148"/>
      <c r="Q323" s="148"/>
      <c r="R323" s="148"/>
      <c r="T323" s="147"/>
      <c r="U323" s="147"/>
      <c r="V323" s="143"/>
    </row>
    <row r="324" spans="2:22" s="18" customFormat="1" ht="12.75">
      <c r="B324" s="145"/>
      <c r="C324" s="146"/>
      <c r="D324" s="147"/>
      <c r="K324" s="145"/>
      <c r="L324" s="145"/>
      <c r="M324" s="145"/>
      <c r="N324" s="145"/>
      <c r="O324" s="148"/>
      <c r="P324" s="148"/>
      <c r="Q324" s="148"/>
      <c r="R324" s="148"/>
      <c r="T324" s="147"/>
      <c r="U324" s="147"/>
      <c r="V324" s="143"/>
    </row>
    <row r="325" spans="2:22" s="18" customFormat="1" ht="12.75">
      <c r="B325" s="145"/>
      <c r="C325" s="146"/>
      <c r="D325" s="147"/>
      <c r="K325" s="145"/>
      <c r="L325" s="145"/>
      <c r="M325" s="145"/>
      <c r="N325" s="145"/>
      <c r="O325" s="148"/>
      <c r="P325" s="148"/>
      <c r="Q325" s="148"/>
      <c r="R325" s="148"/>
      <c r="T325" s="147"/>
      <c r="U325" s="147"/>
      <c r="V325" s="143"/>
    </row>
    <row r="326" spans="2:22" s="18" customFormat="1" ht="12.75">
      <c r="B326" s="145"/>
      <c r="C326" s="146"/>
      <c r="D326" s="147"/>
      <c r="K326" s="145"/>
      <c r="L326" s="145"/>
      <c r="M326" s="145"/>
      <c r="N326" s="145"/>
      <c r="O326" s="148"/>
      <c r="P326" s="148"/>
      <c r="Q326" s="148"/>
      <c r="R326" s="148"/>
      <c r="T326" s="147"/>
      <c r="U326" s="147"/>
      <c r="V326" s="143"/>
    </row>
    <row r="327" spans="2:22" s="18" customFormat="1" ht="12.75">
      <c r="B327" s="145"/>
      <c r="C327" s="146"/>
      <c r="D327" s="147"/>
      <c r="K327" s="145"/>
      <c r="L327" s="145"/>
      <c r="M327" s="145"/>
      <c r="N327" s="145"/>
      <c r="O327" s="148"/>
      <c r="P327" s="148"/>
      <c r="Q327" s="148"/>
      <c r="R327" s="148"/>
      <c r="T327" s="147"/>
      <c r="U327" s="147"/>
      <c r="V327" s="143"/>
    </row>
    <row r="328" spans="2:22" s="18" customFormat="1" ht="12.75">
      <c r="B328" s="145"/>
      <c r="C328" s="146"/>
      <c r="D328" s="147"/>
      <c r="K328" s="145"/>
      <c r="L328" s="145"/>
      <c r="M328" s="145"/>
      <c r="N328" s="145"/>
      <c r="O328" s="148"/>
      <c r="P328" s="148"/>
      <c r="Q328" s="148"/>
      <c r="R328" s="148"/>
      <c r="T328" s="147"/>
      <c r="U328" s="147"/>
      <c r="V328" s="143"/>
    </row>
    <row r="329" spans="2:22" s="18" customFormat="1" ht="12.75">
      <c r="B329" s="145"/>
      <c r="C329" s="146"/>
      <c r="D329" s="147"/>
      <c r="K329" s="145"/>
      <c r="L329" s="145"/>
      <c r="M329" s="145"/>
      <c r="N329" s="145"/>
      <c r="O329" s="148"/>
      <c r="P329" s="148"/>
      <c r="Q329" s="148"/>
      <c r="R329" s="148"/>
      <c r="T329" s="147"/>
      <c r="U329" s="147"/>
      <c r="V329" s="143"/>
    </row>
    <row r="330" spans="2:22" s="18" customFormat="1" ht="12.75">
      <c r="B330" s="145"/>
      <c r="C330" s="146"/>
      <c r="D330" s="147"/>
      <c r="K330" s="145"/>
      <c r="L330" s="145"/>
      <c r="M330" s="145"/>
      <c r="N330" s="145"/>
      <c r="O330" s="148"/>
      <c r="P330" s="148"/>
      <c r="Q330" s="148"/>
      <c r="R330" s="148"/>
      <c r="T330" s="147"/>
      <c r="U330" s="147"/>
      <c r="V330" s="143"/>
    </row>
    <row r="331" spans="2:22" s="18" customFormat="1" ht="12.75">
      <c r="B331" s="145"/>
      <c r="C331" s="146"/>
      <c r="D331" s="147"/>
      <c r="K331" s="145"/>
      <c r="L331" s="145"/>
      <c r="M331" s="145"/>
      <c r="N331" s="145"/>
      <c r="O331" s="148"/>
      <c r="P331" s="148"/>
      <c r="Q331" s="148"/>
      <c r="R331" s="148"/>
      <c r="T331" s="147"/>
      <c r="U331" s="147"/>
      <c r="V331" s="143"/>
    </row>
    <row r="332" spans="2:22" s="18" customFormat="1" ht="12.75">
      <c r="B332" s="145"/>
      <c r="C332" s="146"/>
      <c r="D332" s="147"/>
      <c r="K332" s="145"/>
      <c r="L332" s="145"/>
      <c r="M332" s="145"/>
      <c r="N332" s="145"/>
      <c r="O332" s="148"/>
      <c r="P332" s="148"/>
      <c r="Q332" s="148"/>
      <c r="R332" s="148"/>
      <c r="T332" s="147"/>
      <c r="U332" s="147"/>
      <c r="V332" s="143"/>
    </row>
    <row r="333" spans="2:22" s="18" customFormat="1" ht="12.75">
      <c r="B333" s="145"/>
      <c r="C333" s="128"/>
      <c r="D333" s="147"/>
      <c r="K333" s="145"/>
      <c r="L333" s="145"/>
      <c r="M333" s="145"/>
      <c r="N333" s="145"/>
      <c r="O333" s="148"/>
      <c r="P333" s="148"/>
      <c r="Q333" s="148"/>
      <c r="R333" s="148"/>
      <c r="T333" s="147"/>
      <c r="U333" s="147"/>
      <c r="V333" s="143"/>
    </row>
    <row r="334" spans="2:22" s="18" customFormat="1" ht="12.75">
      <c r="B334" s="145"/>
      <c r="C334" s="128"/>
      <c r="D334" s="147"/>
      <c r="K334" s="145"/>
      <c r="L334" s="145"/>
      <c r="M334" s="145"/>
      <c r="N334" s="145"/>
      <c r="O334" s="148"/>
      <c r="P334" s="148"/>
      <c r="Q334" s="148"/>
      <c r="R334" s="148"/>
      <c r="T334" s="147"/>
      <c r="U334" s="147"/>
      <c r="V334" s="143"/>
    </row>
    <row r="335" spans="2:22" s="18" customFormat="1" ht="12.75">
      <c r="B335" s="145"/>
      <c r="C335" s="128"/>
      <c r="D335" s="147"/>
      <c r="K335" s="145"/>
      <c r="L335" s="145"/>
      <c r="M335" s="145"/>
      <c r="N335" s="145"/>
      <c r="O335" s="148"/>
      <c r="P335" s="148"/>
      <c r="Q335" s="148"/>
      <c r="R335" s="148"/>
      <c r="T335" s="147"/>
      <c r="U335" s="147"/>
      <c r="V335" s="143"/>
    </row>
    <row r="336" spans="2:22" s="18" customFormat="1" ht="12.75">
      <c r="B336" s="145"/>
      <c r="C336" s="128"/>
      <c r="D336" s="147"/>
      <c r="K336" s="145"/>
      <c r="L336" s="145"/>
      <c r="M336" s="145"/>
      <c r="N336" s="145"/>
      <c r="O336" s="148"/>
      <c r="P336" s="148"/>
      <c r="Q336" s="148"/>
      <c r="R336" s="148"/>
      <c r="T336" s="147"/>
      <c r="U336" s="147"/>
      <c r="V336" s="143"/>
    </row>
    <row r="337" spans="2:22" s="18" customFormat="1" ht="12.75">
      <c r="B337" s="145"/>
      <c r="C337" s="128"/>
      <c r="D337" s="147"/>
      <c r="K337" s="145"/>
      <c r="L337" s="145"/>
      <c r="M337" s="145"/>
      <c r="N337" s="145"/>
      <c r="O337" s="148"/>
      <c r="P337" s="148"/>
      <c r="Q337" s="148"/>
      <c r="R337" s="148"/>
      <c r="T337" s="147"/>
      <c r="U337" s="147"/>
      <c r="V337" s="143"/>
    </row>
    <row r="338" spans="2:22" s="18" customFormat="1" ht="12.75">
      <c r="B338" s="145"/>
      <c r="C338" s="128"/>
      <c r="D338" s="147"/>
      <c r="K338" s="145"/>
      <c r="L338" s="145"/>
      <c r="M338" s="145"/>
      <c r="N338" s="145"/>
      <c r="O338" s="148"/>
      <c r="P338" s="148"/>
      <c r="Q338" s="148"/>
      <c r="R338" s="148"/>
      <c r="T338" s="147"/>
      <c r="U338" s="147"/>
      <c r="V338" s="1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2" sqref="Q2"/>
    </sheetView>
  </sheetViews>
  <sheetFormatPr defaultColWidth="9.140625" defaultRowHeight="12.75"/>
  <cols>
    <col min="1" max="1" width="10.140625" style="2" customWidth="1"/>
    <col min="2" max="2" width="7.140625" style="14" customWidth="1"/>
    <col min="3" max="3" width="7.421875" style="2" customWidth="1"/>
    <col min="4" max="4" width="11.140625" style="8" customWidth="1"/>
    <col min="5" max="5" width="7.421875" style="2" bestFit="1" customWidth="1"/>
    <col min="6" max="6" width="9.140625" style="2" customWidth="1"/>
    <col min="7" max="7" width="20.421875" style="2" customWidth="1"/>
    <col min="8" max="8" width="4.28125" style="2" customWidth="1"/>
    <col min="9" max="9" width="6.57421875" style="2" bestFit="1" customWidth="1"/>
    <col min="10" max="10" width="15.421875" style="2" customWidth="1"/>
    <col min="11" max="11" width="9.28125" style="14" bestFit="1" customWidth="1"/>
    <col min="12" max="12" width="5.7109375" style="14" customWidth="1"/>
    <col min="13" max="13" width="9.28125" style="14" bestFit="1" customWidth="1"/>
    <col min="14" max="14" width="9.140625" style="14" customWidth="1"/>
    <col min="15" max="16" width="9.28125" style="9" bestFit="1" customWidth="1"/>
    <col min="17" max="17" width="10.00390625" style="9" bestFit="1" customWidth="1"/>
    <col min="18" max="18" width="8.7109375" style="9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100</v>
      </c>
      <c r="B1" s="16"/>
      <c r="C1" s="4"/>
      <c r="D1" s="7"/>
      <c r="E1" s="4"/>
      <c r="F1" s="4"/>
      <c r="G1" s="119" t="s">
        <v>99</v>
      </c>
      <c r="H1" s="4"/>
      <c r="I1" s="4"/>
      <c r="J1" s="4"/>
      <c r="O1" s="96"/>
      <c r="P1" s="96" t="s">
        <v>109</v>
      </c>
      <c r="Q1" s="115">
        <v>42551</v>
      </c>
    </row>
    <row r="3" spans="1:22" ht="38.25" customHeight="1">
      <c r="A3" s="5" t="s">
        <v>101</v>
      </c>
      <c r="B3" s="17" t="s">
        <v>102</v>
      </c>
      <c r="C3" s="6" t="s">
        <v>82</v>
      </c>
      <c r="D3" s="116" t="s">
        <v>70</v>
      </c>
      <c r="E3" s="5" t="s">
        <v>103</v>
      </c>
      <c r="F3" s="118" t="s">
        <v>84</v>
      </c>
      <c r="G3" s="118" t="s">
        <v>85</v>
      </c>
      <c r="H3" s="6" t="s">
        <v>16</v>
      </c>
      <c r="I3" s="6" t="s">
        <v>17</v>
      </c>
      <c r="J3" s="118" t="s">
        <v>15</v>
      </c>
      <c r="K3" s="117" t="s">
        <v>104</v>
      </c>
      <c r="L3" s="15" t="s">
        <v>105</v>
      </c>
      <c r="M3" s="15" t="s">
        <v>90</v>
      </c>
      <c r="N3" s="15" t="s">
        <v>91</v>
      </c>
      <c r="O3" s="10" t="s">
        <v>106</v>
      </c>
      <c r="P3" s="11" t="s">
        <v>107</v>
      </c>
      <c r="Q3" s="12" t="s">
        <v>108</v>
      </c>
      <c r="R3" s="13" t="s">
        <v>72</v>
      </c>
      <c r="S3" s="2" t="s">
        <v>95</v>
      </c>
      <c r="T3" s="8" t="s">
        <v>96</v>
      </c>
      <c r="U3" s="8" t="s">
        <v>97</v>
      </c>
      <c r="V3" s="2" t="s">
        <v>98</v>
      </c>
    </row>
    <row r="4" spans="2:21" s="120" customFormat="1" ht="11.25">
      <c r="B4" s="121"/>
      <c r="D4" s="122"/>
      <c r="K4" s="121"/>
      <c r="L4" s="121"/>
      <c r="M4" s="121"/>
      <c r="N4" s="121"/>
      <c r="O4" s="123"/>
      <c r="P4" s="123"/>
      <c r="Q4" s="123"/>
      <c r="R4" s="123"/>
      <c r="T4" s="124"/>
      <c r="U4" s="124"/>
    </row>
    <row r="5" spans="2:21" s="120" customFormat="1" ht="11.25">
      <c r="B5" s="121"/>
      <c r="D5" s="122"/>
      <c r="K5" s="121"/>
      <c r="L5" s="121"/>
      <c r="M5" s="121"/>
      <c r="N5" s="121"/>
      <c r="O5" s="123"/>
      <c r="P5" s="123"/>
      <c r="Q5" s="123"/>
      <c r="R5" s="123"/>
      <c r="T5" s="124"/>
      <c r="U5" s="124"/>
    </row>
    <row r="6" spans="2:21" s="120" customFormat="1" ht="11.25">
      <c r="B6" s="121"/>
      <c r="D6" s="124"/>
      <c r="K6" s="121"/>
      <c r="L6" s="121"/>
      <c r="M6" s="121"/>
      <c r="N6" s="121"/>
      <c r="O6" s="123"/>
      <c r="P6" s="123"/>
      <c r="Q6" s="123"/>
      <c r="R6" s="123"/>
      <c r="T6" s="124"/>
      <c r="U6" s="124"/>
    </row>
    <row r="7" spans="2:21" s="120" customFormat="1" ht="11.25">
      <c r="B7" s="121"/>
      <c r="D7" s="124"/>
      <c r="K7" s="121"/>
      <c r="L7" s="121"/>
      <c r="M7" s="121"/>
      <c r="N7" s="121"/>
      <c r="O7" s="123"/>
      <c r="P7" s="123"/>
      <c r="Q7" s="123"/>
      <c r="R7" s="123"/>
      <c r="T7" s="124"/>
      <c r="U7" s="124"/>
    </row>
    <row r="8" spans="2:21" s="120" customFormat="1" ht="11.25">
      <c r="B8" s="121"/>
      <c r="D8" s="124"/>
      <c r="K8" s="121"/>
      <c r="L8" s="121"/>
      <c r="M8" s="121"/>
      <c r="N8" s="121"/>
      <c r="O8" s="123"/>
      <c r="P8" s="123"/>
      <c r="Q8" s="123"/>
      <c r="R8" s="123"/>
      <c r="T8" s="124"/>
      <c r="U8" s="124"/>
    </row>
    <row r="9" spans="2:21" s="120" customFormat="1" ht="11.25">
      <c r="B9" s="121"/>
      <c r="D9" s="124"/>
      <c r="K9" s="121"/>
      <c r="L9" s="121"/>
      <c r="M9" s="121"/>
      <c r="N9" s="121"/>
      <c r="O9" s="123"/>
      <c r="P9" s="123"/>
      <c r="Q9" s="123"/>
      <c r="R9" s="123"/>
      <c r="T9" s="124"/>
      <c r="U9" s="124"/>
    </row>
    <row r="10" spans="2:21" s="120" customFormat="1" ht="11.25">
      <c r="B10" s="121"/>
      <c r="D10" s="124"/>
      <c r="K10" s="121"/>
      <c r="L10" s="121"/>
      <c r="M10" s="121"/>
      <c r="N10" s="121"/>
      <c r="O10" s="123"/>
      <c r="P10" s="123"/>
      <c r="Q10" s="123"/>
      <c r="R10" s="123"/>
      <c r="T10" s="124"/>
      <c r="U10" s="124"/>
    </row>
    <row r="11" spans="2:21" s="120" customFormat="1" ht="11.25">
      <c r="B11" s="121"/>
      <c r="D11" s="124"/>
      <c r="K11" s="121"/>
      <c r="L11" s="121"/>
      <c r="M11" s="121"/>
      <c r="N11" s="121"/>
      <c r="O11" s="123"/>
      <c r="P11" s="123"/>
      <c r="Q11" s="123"/>
      <c r="R11" s="123"/>
      <c r="T11" s="124"/>
      <c r="U11" s="124"/>
    </row>
    <row r="12" spans="2:21" s="120" customFormat="1" ht="11.25">
      <c r="B12" s="121"/>
      <c r="D12" s="124"/>
      <c r="K12" s="121"/>
      <c r="L12" s="121"/>
      <c r="M12" s="121"/>
      <c r="N12" s="121"/>
      <c r="O12" s="123"/>
      <c r="P12" s="123"/>
      <c r="Q12" s="123"/>
      <c r="R12" s="123"/>
      <c r="T12" s="124"/>
      <c r="U12" s="124"/>
    </row>
    <row r="13" spans="2:21" s="120" customFormat="1" ht="11.25">
      <c r="B13" s="121"/>
      <c r="D13" s="124"/>
      <c r="K13" s="121"/>
      <c r="L13" s="121"/>
      <c r="M13" s="121"/>
      <c r="N13" s="121"/>
      <c r="O13" s="123"/>
      <c r="P13" s="123"/>
      <c r="Q13" s="123"/>
      <c r="R13" s="123"/>
      <c r="T13" s="124"/>
      <c r="U13" s="124"/>
    </row>
    <row r="14" spans="2:21" s="120" customFormat="1" ht="11.25">
      <c r="B14" s="121"/>
      <c r="D14" s="124"/>
      <c r="K14" s="121"/>
      <c r="L14" s="121"/>
      <c r="M14" s="121"/>
      <c r="N14" s="121"/>
      <c r="O14" s="123"/>
      <c r="P14" s="123"/>
      <c r="Q14" s="123"/>
      <c r="R14" s="123"/>
      <c r="T14" s="124"/>
      <c r="U14" s="124"/>
    </row>
    <row r="15" spans="2:21" s="120" customFormat="1" ht="11.25">
      <c r="B15" s="121"/>
      <c r="D15" s="124"/>
      <c r="K15" s="121"/>
      <c r="L15" s="121"/>
      <c r="M15" s="121"/>
      <c r="N15" s="121"/>
      <c r="O15" s="123"/>
      <c r="P15" s="123"/>
      <c r="Q15" s="123"/>
      <c r="R15" s="123"/>
      <c r="T15" s="124"/>
      <c r="U15" s="124"/>
    </row>
    <row r="16" spans="2:21" s="120" customFormat="1" ht="11.25">
      <c r="B16" s="121"/>
      <c r="D16" s="124"/>
      <c r="K16" s="121"/>
      <c r="L16" s="121"/>
      <c r="M16" s="121"/>
      <c r="N16" s="121"/>
      <c r="O16" s="123"/>
      <c r="P16" s="123"/>
      <c r="Q16" s="123"/>
      <c r="R16" s="123"/>
      <c r="T16" s="124"/>
      <c r="U16" s="124"/>
    </row>
    <row r="17" spans="2:21" s="120" customFormat="1" ht="11.25">
      <c r="B17" s="121"/>
      <c r="D17" s="124"/>
      <c r="K17" s="121"/>
      <c r="L17" s="121"/>
      <c r="M17" s="121"/>
      <c r="N17" s="121"/>
      <c r="O17" s="123"/>
      <c r="P17" s="123"/>
      <c r="Q17" s="123"/>
      <c r="R17" s="123"/>
      <c r="T17" s="124"/>
      <c r="U17" s="124"/>
    </row>
    <row r="18" spans="2:21" s="120" customFormat="1" ht="11.25">
      <c r="B18" s="121"/>
      <c r="D18" s="124"/>
      <c r="K18" s="121"/>
      <c r="L18" s="121"/>
      <c r="M18" s="121"/>
      <c r="N18" s="121"/>
      <c r="O18" s="123"/>
      <c r="P18" s="123"/>
      <c r="Q18" s="123"/>
      <c r="R18" s="123"/>
      <c r="T18" s="124"/>
      <c r="U18" s="124"/>
    </row>
    <row r="19" spans="2:21" s="120" customFormat="1" ht="11.25">
      <c r="B19" s="121"/>
      <c r="D19" s="124"/>
      <c r="K19" s="121"/>
      <c r="L19" s="121"/>
      <c r="M19" s="121"/>
      <c r="N19" s="121"/>
      <c r="O19" s="123"/>
      <c r="P19" s="123"/>
      <c r="Q19" s="123"/>
      <c r="R19" s="123"/>
      <c r="T19" s="124"/>
      <c r="U19" s="124"/>
    </row>
    <row r="20" spans="2:21" s="120" customFormat="1" ht="11.25">
      <c r="B20" s="121"/>
      <c r="D20" s="124"/>
      <c r="K20" s="121"/>
      <c r="L20" s="121"/>
      <c r="M20" s="121"/>
      <c r="N20" s="121"/>
      <c r="O20" s="123"/>
      <c r="P20" s="123"/>
      <c r="Q20" s="123"/>
      <c r="R20" s="123"/>
      <c r="T20" s="124"/>
      <c r="U20" s="124"/>
    </row>
    <row r="21" spans="2:21" s="120" customFormat="1" ht="11.25">
      <c r="B21" s="121"/>
      <c r="D21" s="124"/>
      <c r="K21" s="121"/>
      <c r="L21" s="121"/>
      <c r="M21" s="121"/>
      <c r="N21" s="121"/>
      <c r="O21" s="123"/>
      <c r="P21" s="123"/>
      <c r="Q21" s="123"/>
      <c r="R21" s="123"/>
      <c r="T21" s="124"/>
      <c r="U21" s="124"/>
    </row>
    <row r="22" spans="2:21" s="120" customFormat="1" ht="11.25">
      <c r="B22" s="121"/>
      <c r="D22" s="124"/>
      <c r="K22" s="121"/>
      <c r="L22" s="121"/>
      <c r="M22" s="121"/>
      <c r="N22" s="121"/>
      <c r="O22" s="123"/>
      <c r="P22" s="123"/>
      <c r="Q22" s="123"/>
      <c r="R22" s="123"/>
      <c r="T22" s="124"/>
      <c r="U22" s="124"/>
    </row>
    <row r="23" spans="2:21" s="120" customFormat="1" ht="11.25">
      <c r="B23" s="121"/>
      <c r="D23" s="124"/>
      <c r="K23" s="121"/>
      <c r="L23" s="121"/>
      <c r="M23" s="121"/>
      <c r="N23" s="121"/>
      <c r="O23" s="123"/>
      <c r="P23" s="123"/>
      <c r="Q23" s="123"/>
      <c r="R23" s="123"/>
      <c r="T23" s="124"/>
      <c r="U23" s="124"/>
    </row>
    <row r="24" spans="2:21" s="120" customFormat="1" ht="11.25">
      <c r="B24" s="121"/>
      <c r="D24" s="124"/>
      <c r="K24" s="121"/>
      <c r="L24" s="121"/>
      <c r="M24" s="121"/>
      <c r="N24" s="121"/>
      <c r="O24" s="123"/>
      <c r="P24" s="123"/>
      <c r="Q24" s="123"/>
      <c r="R24" s="123"/>
      <c r="T24" s="124"/>
      <c r="U24" s="124"/>
    </row>
    <row r="25" spans="2:21" s="120" customFormat="1" ht="11.25">
      <c r="B25" s="121"/>
      <c r="D25" s="124"/>
      <c r="K25" s="121"/>
      <c r="L25" s="121"/>
      <c r="M25" s="121"/>
      <c r="N25" s="121"/>
      <c r="O25" s="123"/>
      <c r="P25" s="123"/>
      <c r="Q25" s="123"/>
      <c r="R25" s="123"/>
      <c r="T25" s="124"/>
      <c r="U25" s="124"/>
    </row>
    <row r="26" spans="2:21" s="120" customFormat="1" ht="11.25">
      <c r="B26" s="121"/>
      <c r="D26" s="124"/>
      <c r="K26" s="121"/>
      <c r="L26" s="121"/>
      <c r="M26" s="121"/>
      <c r="N26" s="121"/>
      <c r="O26" s="123"/>
      <c r="P26" s="123"/>
      <c r="Q26" s="123"/>
      <c r="R26" s="123"/>
      <c r="T26" s="124"/>
      <c r="U26" s="124"/>
    </row>
    <row r="27" spans="2:21" s="120" customFormat="1" ht="11.25">
      <c r="B27" s="121"/>
      <c r="D27" s="124"/>
      <c r="K27" s="121"/>
      <c r="L27" s="121"/>
      <c r="M27" s="121"/>
      <c r="N27" s="121"/>
      <c r="O27" s="123"/>
      <c r="P27" s="123"/>
      <c r="Q27" s="123"/>
      <c r="R27" s="123"/>
      <c r="T27" s="124"/>
      <c r="U27" s="124"/>
    </row>
    <row r="28" spans="2:21" s="120" customFormat="1" ht="11.25">
      <c r="B28" s="121"/>
      <c r="D28" s="124"/>
      <c r="K28" s="121"/>
      <c r="L28" s="121"/>
      <c r="M28" s="121"/>
      <c r="N28" s="121"/>
      <c r="O28" s="123"/>
      <c r="P28" s="123"/>
      <c r="Q28" s="123"/>
      <c r="R28" s="123"/>
      <c r="T28" s="124"/>
      <c r="U28" s="124"/>
    </row>
    <row r="29" spans="2:21" s="120" customFormat="1" ht="11.25">
      <c r="B29" s="121"/>
      <c r="D29" s="124"/>
      <c r="K29" s="121"/>
      <c r="L29" s="121"/>
      <c r="M29" s="121"/>
      <c r="N29" s="121"/>
      <c r="O29" s="123"/>
      <c r="P29" s="123"/>
      <c r="Q29" s="123"/>
      <c r="R29" s="123"/>
      <c r="T29" s="124"/>
      <c r="U29" s="124"/>
    </row>
    <row r="30" spans="2:21" s="120" customFormat="1" ht="11.25">
      <c r="B30" s="121"/>
      <c r="D30" s="124"/>
      <c r="K30" s="121"/>
      <c r="L30" s="121"/>
      <c r="M30" s="121"/>
      <c r="N30" s="121"/>
      <c r="O30" s="123"/>
      <c r="P30" s="123"/>
      <c r="Q30" s="123"/>
      <c r="R30" s="123"/>
      <c r="T30" s="124"/>
      <c r="U30" s="124"/>
    </row>
    <row r="31" spans="2:21" s="120" customFormat="1" ht="11.25">
      <c r="B31" s="121"/>
      <c r="D31" s="124"/>
      <c r="K31" s="121"/>
      <c r="L31" s="121"/>
      <c r="M31" s="121"/>
      <c r="N31" s="121"/>
      <c r="O31" s="123"/>
      <c r="P31" s="123"/>
      <c r="Q31" s="123"/>
      <c r="R31" s="123"/>
      <c r="T31" s="124"/>
      <c r="U31" s="124"/>
    </row>
    <row r="32" spans="2:21" s="120" customFormat="1" ht="11.25">
      <c r="B32" s="121"/>
      <c r="D32" s="124"/>
      <c r="K32" s="121"/>
      <c r="L32" s="121"/>
      <c r="M32" s="121"/>
      <c r="N32" s="121"/>
      <c r="O32" s="123"/>
      <c r="P32" s="123"/>
      <c r="Q32" s="123"/>
      <c r="R32" s="123"/>
      <c r="T32" s="124"/>
      <c r="U32" s="124"/>
    </row>
    <row r="33" spans="2:21" s="120" customFormat="1" ht="11.25">
      <c r="B33" s="121"/>
      <c r="D33" s="124"/>
      <c r="K33" s="121"/>
      <c r="L33" s="121"/>
      <c r="M33" s="121"/>
      <c r="N33" s="121"/>
      <c r="O33" s="123"/>
      <c r="P33" s="123"/>
      <c r="Q33" s="123"/>
      <c r="R33" s="123"/>
      <c r="T33" s="124"/>
      <c r="U33" s="124"/>
    </row>
    <row r="34" spans="2:21" s="120" customFormat="1" ht="11.25">
      <c r="B34" s="121"/>
      <c r="D34" s="124"/>
      <c r="K34" s="121"/>
      <c r="L34" s="121"/>
      <c r="M34" s="121"/>
      <c r="N34" s="121"/>
      <c r="O34" s="123"/>
      <c r="P34" s="123"/>
      <c r="Q34" s="123"/>
      <c r="R34" s="123"/>
      <c r="T34" s="124"/>
      <c r="U34" s="124"/>
    </row>
    <row r="35" spans="2:21" s="120" customFormat="1" ht="11.25">
      <c r="B35" s="121"/>
      <c r="D35" s="124"/>
      <c r="K35" s="121"/>
      <c r="L35" s="121"/>
      <c r="M35" s="121"/>
      <c r="N35" s="121"/>
      <c r="O35" s="123"/>
      <c r="P35" s="123"/>
      <c r="Q35" s="123"/>
      <c r="R35" s="123"/>
      <c r="T35" s="124"/>
      <c r="U35" s="124"/>
    </row>
    <row r="36" spans="2:21" s="120" customFormat="1" ht="11.25">
      <c r="B36" s="121"/>
      <c r="D36" s="124"/>
      <c r="K36" s="121"/>
      <c r="L36" s="121"/>
      <c r="M36" s="121"/>
      <c r="N36" s="121"/>
      <c r="O36" s="123"/>
      <c r="P36" s="123"/>
      <c r="Q36" s="123"/>
      <c r="R36" s="123"/>
      <c r="T36" s="124"/>
      <c r="U36" s="124"/>
    </row>
    <row r="37" spans="2:21" s="120" customFormat="1" ht="11.25">
      <c r="B37" s="121"/>
      <c r="D37" s="124"/>
      <c r="K37" s="121"/>
      <c r="L37" s="121"/>
      <c r="M37" s="121"/>
      <c r="N37" s="121"/>
      <c r="O37" s="123"/>
      <c r="P37" s="123"/>
      <c r="Q37" s="123"/>
      <c r="R37" s="123"/>
      <c r="T37" s="124"/>
      <c r="U37" s="124"/>
    </row>
    <row r="38" spans="2:21" s="120" customFormat="1" ht="11.25">
      <c r="B38" s="121"/>
      <c r="D38" s="124"/>
      <c r="K38" s="121"/>
      <c r="L38" s="121"/>
      <c r="M38" s="121"/>
      <c r="N38" s="121"/>
      <c r="O38" s="123"/>
      <c r="P38" s="123"/>
      <c r="Q38" s="123"/>
      <c r="R38" s="123"/>
      <c r="T38" s="124"/>
      <c r="U38" s="124"/>
    </row>
    <row r="39" spans="2:21" s="120" customFormat="1" ht="11.25">
      <c r="B39" s="121"/>
      <c r="D39" s="124"/>
      <c r="K39" s="121"/>
      <c r="L39" s="121"/>
      <c r="M39" s="121"/>
      <c r="N39" s="121"/>
      <c r="O39" s="123"/>
      <c r="P39" s="123"/>
      <c r="Q39" s="123"/>
      <c r="R39" s="123"/>
      <c r="T39" s="124"/>
      <c r="U39" s="124"/>
    </row>
    <row r="40" spans="2:21" s="120" customFormat="1" ht="11.25">
      <c r="B40" s="121"/>
      <c r="D40" s="124"/>
      <c r="K40" s="121"/>
      <c r="L40" s="121"/>
      <c r="M40" s="121"/>
      <c r="N40" s="121"/>
      <c r="O40" s="123"/>
      <c r="P40" s="123"/>
      <c r="Q40" s="123"/>
      <c r="R40" s="123"/>
      <c r="T40" s="124"/>
      <c r="U40" s="1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2:EK55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16.7109375" style="2" customWidth="1"/>
    <col min="2" max="2" width="12.28125" style="14" customWidth="1"/>
    <col min="3" max="3" width="17.421875" style="2" customWidth="1"/>
    <col min="4" max="4" width="11.140625" style="8" customWidth="1"/>
    <col min="5" max="5" width="7.421875" style="2" bestFit="1" customWidth="1"/>
    <col min="6" max="6" width="10.140625" style="2" bestFit="1" customWidth="1"/>
    <col min="7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7109375" style="14" bestFit="1" customWidth="1"/>
    <col min="12" max="12" width="9.140625" style="14" customWidth="1"/>
    <col min="13" max="13" width="10.140625" style="14" bestFit="1" customWidth="1"/>
    <col min="14" max="14" width="10.7109375" style="14" bestFit="1" customWidth="1"/>
    <col min="15" max="15" width="9.140625" style="9" customWidth="1"/>
    <col min="16" max="16" width="9.8515625" style="9" bestFit="1" customWidth="1"/>
    <col min="17" max="17" width="9.8515625" style="2" bestFit="1" customWidth="1"/>
    <col min="18" max="19" width="15.57421875" style="8" bestFit="1" customWidth="1"/>
    <col min="20" max="22" width="9.140625" style="2" customWidth="1"/>
    <col min="23" max="141" width="9.140625" style="134" customWidth="1"/>
    <col min="142" max="16384" width="9.140625" style="2" customWidth="1"/>
  </cols>
  <sheetData>
    <row r="2" ht="11.25">
      <c r="D2" s="127" t="s">
        <v>111</v>
      </c>
    </row>
    <row r="3" spans="1:17" ht="11.25">
      <c r="A3" s="3" t="s">
        <v>112</v>
      </c>
      <c r="B3" s="16"/>
      <c r="C3" s="4"/>
      <c r="D3" s="126" t="s">
        <v>110</v>
      </c>
      <c r="E3" s="4"/>
      <c r="F3" s="4"/>
      <c r="G3" s="4"/>
      <c r="H3" s="4"/>
      <c r="I3" s="4"/>
      <c r="J3" s="4"/>
      <c r="N3" s="97"/>
      <c r="O3" s="96"/>
      <c r="P3" s="96" t="s">
        <v>114</v>
      </c>
      <c r="Q3" s="115">
        <v>42825</v>
      </c>
    </row>
    <row r="5" spans="1:20" ht="38.25" customHeight="1">
      <c r="A5" s="5" t="s">
        <v>80</v>
      </c>
      <c r="B5" s="17" t="s">
        <v>102</v>
      </c>
      <c r="C5" s="6" t="s">
        <v>82</v>
      </c>
      <c r="D5" s="116" t="s">
        <v>70</v>
      </c>
      <c r="E5" s="5" t="s">
        <v>103</v>
      </c>
      <c r="F5" s="125" t="s">
        <v>84</v>
      </c>
      <c r="G5" s="125" t="s">
        <v>85</v>
      </c>
      <c r="H5" s="6" t="s">
        <v>16</v>
      </c>
      <c r="I5" s="6" t="s">
        <v>17</v>
      </c>
      <c r="J5" s="118" t="s">
        <v>15</v>
      </c>
      <c r="K5" s="117" t="s">
        <v>104</v>
      </c>
      <c r="L5" s="15" t="s">
        <v>105</v>
      </c>
      <c r="M5" s="117" t="s">
        <v>90</v>
      </c>
      <c r="N5" s="117" t="s">
        <v>91</v>
      </c>
      <c r="O5" s="11" t="s">
        <v>113</v>
      </c>
      <c r="P5" s="13" t="s">
        <v>72</v>
      </c>
      <c r="Q5" s="132" t="s">
        <v>18</v>
      </c>
      <c r="R5" s="8" t="s">
        <v>96</v>
      </c>
      <c r="S5" s="8" t="s">
        <v>97</v>
      </c>
      <c r="T5" s="2" t="s">
        <v>98</v>
      </c>
    </row>
    <row r="6" spans="1:21" s="143" customFormat="1" ht="12.75">
      <c r="A6" s="153" t="s">
        <v>516</v>
      </c>
      <c r="B6" s="136">
        <v>42887</v>
      </c>
      <c r="C6" s="153" t="s">
        <v>517</v>
      </c>
      <c r="D6" s="154">
        <v>821.59</v>
      </c>
      <c r="E6" s="18"/>
      <c r="F6" s="18"/>
      <c r="G6" s="18"/>
      <c r="H6" s="18"/>
      <c r="I6" s="18"/>
      <c r="J6" s="18"/>
      <c r="K6" s="136">
        <v>42898</v>
      </c>
      <c r="L6" s="145"/>
      <c r="M6" s="136">
        <f>+N6</f>
        <v>42919</v>
      </c>
      <c r="N6" s="136">
        <v>42919</v>
      </c>
      <c r="O6" s="148">
        <f>+M6-K6</f>
        <v>21</v>
      </c>
      <c r="P6" s="148">
        <f>+N6-M6</f>
        <v>0</v>
      </c>
      <c r="Q6" s="148">
        <f>+N6-K6</f>
        <v>21</v>
      </c>
      <c r="R6" s="148">
        <f>+O6*D6</f>
        <v>17253.39</v>
      </c>
      <c r="S6" s="148">
        <f>+P6*D6</f>
        <v>0</v>
      </c>
      <c r="T6" s="155"/>
      <c r="U6" s="155"/>
    </row>
    <row r="7" spans="1:21" s="143" customFormat="1" ht="12.75">
      <c r="A7" s="153" t="s">
        <v>518</v>
      </c>
      <c r="B7" s="136">
        <v>42886</v>
      </c>
      <c r="C7" s="153" t="s">
        <v>519</v>
      </c>
      <c r="D7" s="154">
        <v>51.96</v>
      </c>
      <c r="E7" s="18"/>
      <c r="F7" s="18"/>
      <c r="G7" s="18"/>
      <c r="H7" s="18"/>
      <c r="I7" s="18"/>
      <c r="J7" s="18"/>
      <c r="K7" s="136">
        <v>42906</v>
      </c>
      <c r="L7" s="145"/>
      <c r="M7" s="136">
        <f>+N7</f>
        <v>42917</v>
      </c>
      <c r="N7" s="136">
        <v>42917</v>
      </c>
      <c r="O7" s="148">
        <f>+M7-K7</f>
        <v>11</v>
      </c>
      <c r="P7" s="148">
        <f>+N7-M7</f>
        <v>0</v>
      </c>
      <c r="Q7" s="148">
        <f>+N7-K7</f>
        <v>11</v>
      </c>
      <c r="R7" s="148">
        <f>+O7*D7</f>
        <v>571.5600000000001</v>
      </c>
      <c r="S7" s="148">
        <f>+P7*D7</f>
        <v>0</v>
      </c>
      <c r="T7" s="155"/>
      <c r="U7" s="155"/>
    </row>
    <row r="8" spans="1:21" s="143" customFormat="1" ht="12.75">
      <c r="A8" s="153" t="s">
        <v>520</v>
      </c>
      <c r="B8" s="136">
        <v>42916</v>
      </c>
      <c r="C8" s="153" t="s">
        <v>521</v>
      </c>
      <c r="D8" s="154">
        <v>118.35</v>
      </c>
      <c r="E8" s="18"/>
      <c r="F8" s="18"/>
      <c r="G8" s="18"/>
      <c r="H8" s="18"/>
      <c r="I8" s="18"/>
      <c r="J8" s="18"/>
      <c r="K8" s="136">
        <v>42921</v>
      </c>
      <c r="L8" s="145"/>
      <c r="M8" s="136">
        <f>+N8</f>
        <v>42922</v>
      </c>
      <c r="N8" s="136">
        <v>42922</v>
      </c>
      <c r="O8" s="148">
        <f>+M8-K8</f>
        <v>1</v>
      </c>
      <c r="P8" s="148">
        <f>+N8-M8</f>
        <v>0</v>
      </c>
      <c r="Q8" s="148">
        <f>+N8-K8</f>
        <v>1</v>
      </c>
      <c r="R8" s="148">
        <f>+O8*D8</f>
        <v>118.35</v>
      </c>
      <c r="S8" s="148">
        <f>+P8*D8</f>
        <v>0</v>
      </c>
      <c r="T8" s="155"/>
      <c r="U8" s="155"/>
    </row>
    <row r="9" spans="1:21" s="143" customFormat="1" ht="12.75">
      <c r="A9" s="153" t="s">
        <v>522</v>
      </c>
      <c r="B9" s="136">
        <v>42916</v>
      </c>
      <c r="C9" s="153" t="s">
        <v>523</v>
      </c>
      <c r="D9" s="154">
        <v>3505.95</v>
      </c>
      <c r="E9" s="18"/>
      <c r="F9" s="18"/>
      <c r="G9" s="18"/>
      <c r="H9" s="18"/>
      <c r="I9" s="18"/>
      <c r="J9" s="18"/>
      <c r="K9" s="136">
        <v>42922</v>
      </c>
      <c r="L9" s="145"/>
      <c r="M9" s="136">
        <f>+N9</f>
        <v>42926</v>
      </c>
      <c r="N9" s="136">
        <v>42926</v>
      </c>
      <c r="O9" s="148">
        <f>+M9-K9</f>
        <v>4</v>
      </c>
      <c r="P9" s="148">
        <f>+N9-M9</f>
        <v>0</v>
      </c>
      <c r="Q9" s="148">
        <f>+N9-K9</f>
        <v>4</v>
      </c>
      <c r="R9" s="148">
        <f>+O9*D9</f>
        <v>14023.8</v>
      </c>
      <c r="S9" s="148">
        <f>+P9*D9</f>
        <v>0</v>
      </c>
      <c r="T9" s="155"/>
      <c r="U9" s="155"/>
    </row>
    <row r="10" spans="1:21" s="143" customFormat="1" ht="12.75">
      <c r="A10" s="153" t="s">
        <v>524</v>
      </c>
      <c r="B10" s="136">
        <v>42916</v>
      </c>
      <c r="C10" s="153" t="s">
        <v>525</v>
      </c>
      <c r="D10" s="154">
        <v>16.94</v>
      </c>
      <c r="E10" s="18"/>
      <c r="F10" s="18"/>
      <c r="G10" s="18"/>
      <c r="H10" s="18"/>
      <c r="I10" s="18"/>
      <c r="J10" s="18"/>
      <c r="K10" s="136">
        <v>42920</v>
      </c>
      <c r="L10" s="145"/>
      <c r="M10" s="136">
        <f>+N10</f>
        <v>42920</v>
      </c>
      <c r="N10" s="136">
        <v>42920</v>
      </c>
      <c r="O10" s="148">
        <f>+M10-K10</f>
        <v>0</v>
      </c>
      <c r="P10" s="148">
        <f>+N10-M10</f>
        <v>0</v>
      </c>
      <c r="Q10" s="148">
        <f>+N10-K10</f>
        <v>0</v>
      </c>
      <c r="R10" s="148">
        <f>+O10*D10</f>
        <v>0</v>
      </c>
      <c r="S10" s="148">
        <f>+P10*D10</f>
        <v>0</v>
      </c>
      <c r="T10" s="155"/>
      <c r="U10" s="155"/>
    </row>
    <row r="11" spans="1:21" s="143" customFormat="1" ht="12.75">
      <c r="A11" s="153" t="s">
        <v>526</v>
      </c>
      <c r="B11" s="136">
        <v>42855</v>
      </c>
      <c r="C11" s="153" t="s">
        <v>527</v>
      </c>
      <c r="D11" s="154">
        <v>73.86</v>
      </c>
      <c r="E11" s="18"/>
      <c r="F11" s="18"/>
      <c r="G11" s="18"/>
      <c r="H11" s="18"/>
      <c r="I11" s="18"/>
      <c r="J11" s="18"/>
      <c r="K11" s="136">
        <v>42872</v>
      </c>
      <c r="L11" s="145"/>
      <c r="M11" s="145"/>
      <c r="N11" s="145"/>
      <c r="O11" s="148"/>
      <c r="P11" s="148"/>
      <c r="Q11" s="148"/>
      <c r="R11" s="148"/>
      <c r="S11" s="148"/>
      <c r="T11" s="155"/>
      <c r="U11" s="155"/>
    </row>
    <row r="12" spans="1:21" s="143" customFormat="1" ht="12.75">
      <c r="A12" s="153" t="s">
        <v>528</v>
      </c>
      <c r="B12" s="136">
        <v>42850</v>
      </c>
      <c r="C12" s="153" t="s">
        <v>529</v>
      </c>
      <c r="D12" s="154">
        <v>-26.43</v>
      </c>
      <c r="E12" s="18"/>
      <c r="F12" s="18"/>
      <c r="G12" s="18"/>
      <c r="H12" s="18"/>
      <c r="I12" s="18"/>
      <c r="J12" s="18"/>
      <c r="K12" s="136">
        <v>42873</v>
      </c>
      <c r="L12" s="145"/>
      <c r="M12" s="145"/>
      <c r="N12" s="145"/>
      <c r="O12" s="148"/>
      <c r="P12" s="148"/>
      <c r="Q12" s="148"/>
      <c r="R12" s="148"/>
      <c r="S12" s="148"/>
      <c r="T12" s="155"/>
      <c r="U12" s="155"/>
    </row>
    <row r="13" spans="1:21" s="143" customFormat="1" ht="12.75">
      <c r="A13" s="153" t="s">
        <v>530</v>
      </c>
      <c r="B13" s="136">
        <v>42896</v>
      </c>
      <c r="C13" s="153" t="s">
        <v>531</v>
      </c>
      <c r="D13" s="154">
        <v>786.63</v>
      </c>
      <c r="E13" s="18"/>
      <c r="F13" s="18"/>
      <c r="G13" s="18"/>
      <c r="H13" s="18"/>
      <c r="I13" s="18"/>
      <c r="J13" s="18"/>
      <c r="K13" s="136">
        <v>42906</v>
      </c>
      <c r="L13" s="145"/>
      <c r="M13" s="145"/>
      <c r="N13" s="145"/>
      <c r="O13" s="148"/>
      <c r="P13" s="148"/>
      <c r="Q13" s="148"/>
      <c r="R13" s="148"/>
      <c r="S13" s="148"/>
      <c r="T13" s="155"/>
      <c r="U13" s="155"/>
    </row>
    <row r="14" spans="1:21" s="143" customFormat="1" ht="12.75">
      <c r="A14" s="153" t="s">
        <v>532</v>
      </c>
      <c r="B14" s="136">
        <v>42901</v>
      </c>
      <c r="C14" s="153" t="s">
        <v>533</v>
      </c>
      <c r="D14" s="154">
        <v>235.12</v>
      </c>
      <c r="E14" s="18"/>
      <c r="F14" s="18"/>
      <c r="G14" s="18"/>
      <c r="H14" s="18"/>
      <c r="I14" s="18"/>
      <c r="J14" s="18"/>
      <c r="K14" s="136">
        <v>42906</v>
      </c>
      <c r="L14" s="145"/>
      <c r="M14" s="145"/>
      <c r="N14" s="145"/>
      <c r="O14" s="148"/>
      <c r="P14" s="148"/>
      <c r="Q14" s="148"/>
      <c r="R14" s="148"/>
      <c r="S14" s="148"/>
      <c r="T14" s="155"/>
      <c r="U14" s="155"/>
    </row>
    <row r="15" spans="1:21" s="143" customFormat="1" ht="12.75">
      <c r="A15" s="153" t="s">
        <v>534</v>
      </c>
      <c r="B15" s="136">
        <v>42885</v>
      </c>
      <c r="C15" s="153" t="s">
        <v>535</v>
      </c>
      <c r="D15" s="154">
        <v>302.69</v>
      </c>
      <c r="E15" s="18"/>
      <c r="F15" s="18"/>
      <c r="G15" s="18"/>
      <c r="H15" s="18"/>
      <c r="I15" s="18"/>
      <c r="J15" s="18"/>
      <c r="K15" s="136">
        <v>42912</v>
      </c>
      <c r="L15" s="145"/>
      <c r="M15" s="145"/>
      <c r="N15" s="145"/>
      <c r="O15" s="148"/>
      <c r="P15" s="148"/>
      <c r="Q15" s="148"/>
      <c r="R15" s="148"/>
      <c r="S15" s="148"/>
      <c r="T15" s="155"/>
      <c r="U15" s="155"/>
    </row>
    <row r="16" spans="1:21" s="157" customFormat="1" ht="12.75">
      <c r="A16" s="153" t="s">
        <v>536</v>
      </c>
      <c r="B16" s="136">
        <v>42826</v>
      </c>
      <c r="C16" s="153" t="s">
        <v>537</v>
      </c>
      <c r="D16" s="154">
        <v>1210</v>
      </c>
      <c r="E16" s="18"/>
      <c r="F16" s="18"/>
      <c r="G16" s="18"/>
      <c r="H16" s="18"/>
      <c r="I16" s="18"/>
      <c r="J16" s="18"/>
      <c r="K16" s="136">
        <v>42921</v>
      </c>
      <c r="L16" s="145"/>
      <c r="M16" s="145"/>
      <c r="N16" s="145"/>
      <c r="O16" s="148"/>
      <c r="P16" s="148"/>
      <c r="Q16" s="148"/>
      <c r="R16" s="148"/>
      <c r="S16" s="148"/>
      <c r="T16" s="156"/>
      <c r="U16" s="156"/>
    </row>
    <row r="17" spans="1:21" s="143" customFormat="1" ht="12.75">
      <c r="A17" s="153" t="s">
        <v>538</v>
      </c>
      <c r="B17" s="136">
        <v>42899</v>
      </c>
      <c r="C17" s="153" t="s">
        <v>539</v>
      </c>
      <c r="D17" s="154">
        <v>871.2</v>
      </c>
      <c r="E17" s="18"/>
      <c r="F17" s="18"/>
      <c r="G17" s="18"/>
      <c r="H17" s="18"/>
      <c r="I17" s="18"/>
      <c r="J17" s="18"/>
      <c r="K17" s="136">
        <v>42921</v>
      </c>
      <c r="L17" s="145"/>
      <c r="M17" s="145"/>
      <c r="N17" s="145"/>
      <c r="O17" s="148"/>
      <c r="P17" s="148"/>
      <c r="Q17" s="148"/>
      <c r="R17" s="148"/>
      <c r="S17" s="148"/>
      <c r="T17" s="155"/>
      <c r="U17" s="155"/>
    </row>
    <row r="18" spans="1:21" s="143" customFormat="1" ht="12.75">
      <c r="A18" s="153" t="s">
        <v>540</v>
      </c>
      <c r="B18" s="136">
        <v>42916</v>
      </c>
      <c r="C18" s="153" t="s">
        <v>541</v>
      </c>
      <c r="D18" s="154">
        <v>150</v>
      </c>
      <c r="E18" s="18"/>
      <c r="F18" s="18"/>
      <c r="G18" s="18"/>
      <c r="H18" s="18"/>
      <c r="I18" s="18"/>
      <c r="J18" s="18"/>
      <c r="K18" s="136">
        <v>42921</v>
      </c>
      <c r="L18" s="145"/>
      <c r="M18" s="145"/>
      <c r="N18" s="145"/>
      <c r="O18" s="148"/>
      <c r="P18" s="148"/>
      <c r="Q18" s="148"/>
      <c r="R18" s="148"/>
      <c r="S18" s="148"/>
      <c r="T18" s="155"/>
      <c r="U18" s="155"/>
    </row>
    <row r="19" spans="1:21" s="143" customFormat="1" ht="12.75">
      <c r="A19" s="153" t="s">
        <v>542</v>
      </c>
      <c r="B19" s="136">
        <v>42916</v>
      </c>
      <c r="C19" s="153" t="s">
        <v>543</v>
      </c>
      <c r="D19" s="154">
        <v>6522.84</v>
      </c>
      <c r="E19" s="18"/>
      <c r="F19" s="18"/>
      <c r="G19" s="18"/>
      <c r="H19" s="18"/>
      <c r="I19" s="18"/>
      <c r="J19" s="18"/>
      <c r="K19" s="136">
        <v>42921</v>
      </c>
      <c r="L19" s="145"/>
      <c r="M19" s="145"/>
      <c r="N19" s="145"/>
      <c r="O19" s="148"/>
      <c r="P19" s="148"/>
      <c r="Q19" s="148"/>
      <c r="R19" s="148"/>
      <c r="S19" s="148"/>
      <c r="T19" s="155"/>
      <c r="U19" s="155"/>
    </row>
    <row r="20" spans="1:21" s="157" customFormat="1" ht="12.75">
      <c r="A20" s="153" t="s">
        <v>544</v>
      </c>
      <c r="B20" s="136">
        <v>42916</v>
      </c>
      <c r="C20" s="153" t="s">
        <v>545</v>
      </c>
      <c r="D20" s="154">
        <v>122.11</v>
      </c>
      <c r="E20" s="18"/>
      <c r="F20" s="18"/>
      <c r="G20" s="18"/>
      <c r="H20" s="18"/>
      <c r="I20" s="18"/>
      <c r="J20" s="18"/>
      <c r="K20" s="136">
        <v>42921</v>
      </c>
      <c r="L20" s="145"/>
      <c r="M20" s="145"/>
      <c r="N20" s="145"/>
      <c r="O20" s="148"/>
      <c r="P20" s="148"/>
      <c r="Q20" s="148"/>
      <c r="R20" s="148"/>
      <c r="S20" s="148"/>
      <c r="T20" s="156"/>
      <c r="U20" s="156"/>
    </row>
    <row r="21" spans="1:21" s="157" customFormat="1" ht="12.75">
      <c r="A21" s="153" t="s">
        <v>546</v>
      </c>
      <c r="B21" s="136">
        <v>42908</v>
      </c>
      <c r="C21" s="153" t="s">
        <v>547</v>
      </c>
      <c r="D21" s="154">
        <v>1878.53</v>
      </c>
      <c r="E21" s="18"/>
      <c r="F21" s="18"/>
      <c r="G21" s="18"/>
      <c r="H21" s="18"/>
      <c r="I21" s="18"/>
      <c r="J21" s="18"/>
      <c r="K21" s="136">
        <v>42921</v>
      </c>
      <c r="L21" s="145"/>
      <c r="M21" s="145"/>
      <c r="N21" s="145"/>
      <c r="O21" s="148"/>
      <c r="P21" s="148"/>
      <c r="Q21" s="148"/>
      <c r="R21" s="148"/>
      <c r="S21" s="148"/>
      <c r="T21" s="156"/>
      <c r="U21" s="156"/>
    </row>
    <row r="22" spans="1:141" s="18" customFormat="1" ht="12.75">
      <c r="A22" s="153" t="s">
        <v>548</v>
      </c>
      <c r="B22" s="136">
        <v>42913</v>
      </c>
      <c r="C22" s="153" t="s">
        <v>549</v>
      </c>
      <c r="D22" s="154">
        <v>151.25</v>
      </c>
      <c r="K22" s="136">
        <v>42921</v>
      </c>
      <c r="L22" s="145"/>
      <c r="M22" s="145"/>
      <c r="N22" s="145"/>
      <c r="O22" s="148"/>
      <c r="P22" s="148"/>
      <c r="Q22" s="148"/>
      <c r="R22" s="148"/>
      <c r="S22" s="148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</row>
    <row r="23" spans="1:141" s="18" customFormat="1" ht="12.75">
      <c r="A23" s="153" t="s">
        <v>550</v>
      </c>
      <c r="B23" s="136">
        <v>42905</v>
      </c>
      <c r="C23" s="153" t="s">
        <v>551</v>
      </c>
      <c r="D23" s="154">
        <v>1100.36</v>
      </c>
      <c r="K23" s="136">
        <v>42921</v>
      </c>
      <c r="L23" s="145"/>
      <c r="M23" s="145"/>
      <c r="N23" s="145"/>
      <c r="O23" s="148"/>
      <c r="P23" s="148"/>
      <c r="Q23" s="148"/>
      <c r="R23" s="148"/>
      <c r="S23" s="148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</row>
    <row r="24" spans="1:141" s="18" customFormat="1" ht="12.75">
      <c r="A24" s="153" t="s">
        <v>552</v>
      </c>
      <c r="B24" s="136">
        <v>42912</v>
      </c>
      <c r="C24" s="153" t="s">
        <v>553</v>
      </c>
      <c r="D24" s="154">
        <v>8756.77</v>
      </c>
      <c r="K24" s="136">
        <v>42922</v>
      </c>
      <c r="L24" s="145"/>
      <c r="M24" s="145"/>
      <c r="N24" s="145"/>
      <c r="O24" s="148"/>
      <c r="P24" s="148"/>
      <c r="Q24" s="148"/>
      <c r="R24" s="148"/>
      <c r="S24" s="148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</row>
    <row r="25" spans="1:141" s="18" customFormat="1" ht="12.75">
      <c r="A25" s="153" t="s">
        <v>554</v>
      </c>
      <c r="B25" s="136">
        <v>42912</v>
      </c>
      <c r="C25" s="153" t="s">
        <v>555</v>
      </c>
      <c r="D25" s="154">
        <v>3404.61</v>
      </c>
      <c r="K25" s="136">
        <v>42922</v>
      </c>
      <c r="L25" s="145"/>
      <c r="M25" s="145"/>
      <c r="N25" s="145"/>
      <c r="O25" s="148"/>
      <c r="P25" s="148"/>
      <c r="Q25" s="148"/>
      <c r="R25" s="148"/>
      <c r="S25" s="148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</row>
    <row r="26" spans="1:141" s="18" customFormat="1" ht="12.75">
      <c r="A26" s="153" t="s">
        <v>556</v>
      </c>
      <c r="B26" s="136">
        <v>42916</v>
      </c>
      <c r="C26" s="153" t="s">
        <v>557</v>
      </c>
      <c r="D26" s="154">
        <v>844.18</v>
      </c>
      <c r="K26" s="136">
        <v>42922</v>
      </c>
      <c r="L26" s="145"/>
      <c r="M26" s="145"/>
      <c r="N26" s="145"/>
      <c r="O26" s="148"/>
      <c r="P26" s="148"/>
      <c r="Q26" s="148"/>
      <c r="R26" s="148"/>
      <c r="S26" s="148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</row>
    <row r="27" spans="1:141" s="18" customFormat="1" ht="12.75">
      <c r="A27" s="153" t="s">
        <v>558</v>
      </c>
      <c r="B27" s="136">
        <v>42916</v>
      </c>
      <c r="C27" s="153" t="s">
        <v>559</v>
      </c>
      <c r="D27" s="154">
        <v>2750</v>
      </c>
      <c r="K27" s="136">
        <v>42922</v>
      </c>
      <c r="L27" s="145"/>
      <c r="M27" s="145"/>
      <c r="N27" s="145"/>
      <c r="O27" s="148"/>
      <c r="P27" s="148"/>
      <c r="Q27" s="148"/>
      <c r="R27" s="148"/>
      <c r="S27" s="148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</row>
    <row r="28" spans="1:141" s="18" customFormat="1" ht="12.75">
      <c r="A28" s="153" t="s">
        <v>560</v>
      </c>
      <c r="B28" s="136">
        <v>42916</v>
      </c>
      <c r="C28" s="153" t="s">
        <v>561</v>
      </c>
      <c r="D28" s="154">
        <v>3153.03</v>
      </c>
      <c r="K28" s="136">
        <v>42922</v>
      </c>
      <c r="L28" s="145"/>
      <c r="M28" s="145"/>
      <c r="N28" s="145"/>
      <c r="O28" s="148"/>
      <c r="P28" s="148"/>
      <c r="Q28" s="148"/>
      <c r="R28" s="148"/>
      <c r="S28" s="148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</row>
    <row r="29" spans="1:141" s="18" customFormat="1" ht="12.75">
      <c r="A29" s="153" t="s">
        <v>562</v>
      </c>
      <c r="B29" s="136">
        <v>42916</v>
      </c>
      <c r="C29" s="153" t="s">
        <v>563</v>
      </c>
      <c r="D29" s="154">
        <v>195.87</v>
      </c>
      <c r="K29" s="136">
        <v>42922</v>
      </c>
      <c r="L29" s="145"/>
      <c r="M29" s="145"/>
      <c r="N29" s="145"/>
      <c r="O29" s="148"/>
      <c r="P29" s="148"/>
      <c r="Q29" s="148"/>
      <c r="R29" s="148"/>
      <c r="S29" s="148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</row>
    <row r="30" spans="1:141" s="18" customFormat="1" ht="12.75">
      <c r="A30" s="153" t="s">
        <v>564</v>
      </c>
      <c r="B30" s="136">
        <v>42909</v>
      </c>
      <c r="C30" s="153" t="s">
        <v>565</v>
      </c>
      <c r="D30" s="154">
        <v>490.99</v>
      </c>
      <c r="K30" s="136">
        <v>42923</v>
      </c>
      <c r="L30" s="145"/>
      <c r="M30" s="145"/>
      <c r="N30" s="145"/>
      <c r="O30" s="148"/>
      <c r="P30" s="148"/>
      <c r="Q30" s="148"/>
      <c r="R30" s="148"/>
      <c r="S30" s="148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</row>
    <row r="31" spans="1:141" s="18" customFormat="1" ht="12.75">
      <c r="A31" s="153" t="s">
        <v>566</v>
      </c>
      <c r="B31" s="136">
        <v>42915</v>
      </c>
      <c r="C31" s="153" t="s">
        <v>567</v>
      </c>
      <c r="D31" s="154">
        <v>375.81</v>
      </c>
      <c r="K31" s="136">
        <v>42923</v>
      </c>
      <c r="L31" s="145"/>
      <c r="M31" s="145"/>
      <c r="N31" s="145"/>
      <c r="O31" s="148"/>
      <c r="P31" s="148"/>
      <c r="Q31" s="148"/>
      <c r="R31" s="148"/>
      <c r="S31" s="148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</row>
    <row r="32" spans="1:141" s="18" customFormat="1" ht="12.75">
      <c r="A32" s="153" t="s">
        <v>568</v>
      </c>
      <c r="B32" s="136">
        <v>42915</v>
      </c>
      <c r="C32" s="153" t="s">
        <v>569</v>
      </c>
      <c r="D32" s="154">
        <v>399.76</v>
      </c>
      <c r="K32" s="136">
        <v>42923</v>
      </c>
      <c r="L32" s="145"/>
      <c r="M32" s="145"/>
      <c r="N32" s="145"/>
      <c r="O32" s="148"/>
      <c r="P32" s="148"/>
      <c r="Q32" s="148"/>
      <c r="R32" s="148"/>
      <c r="S32" s="148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</row>
    <row r="33" spans="1:141" s="18" customFormat="1" ht="12.75">
      <c r="A33" s="153" t="s">
        <v>570</v>
      </c>
      <c r="B33" s="136">
        <v>42901</v>
      </c>
      <c r="C33" s="153" t="s">
        <v>571</v>
      </c>
      <c r="D33" s="154">
        <v>87.85</v>
      </c>
      <c r="K33" s="136">
        <v>42923</v>
      </c>
      <c r="L33" s="145"/>
      <c r="M33" s="145"/>
      <c r="N33" s="145"/>
      <c r="O33" s="148"/>
      <c r="P33" s="148"/>
      <c r="Q33" s="148"/>
      <c r="R33" s="148"/>
      <c r="S33" s="148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</row>
    <row r="34" spans="1:141" s="18" customFormat="1" ht="12.75">
      <c r="A34" s="153" t="s">
        <v>572</v>
      </c>
      <c r="B34" s="136">
        <v>42916</v>
      </c>
      <c r="C34" s="153" t="s">
        <v>573</v>
      </c>
      <c r="D34" s="154">
        <v>615.81</v>
      </c>
      <c r="K34" s="136">
        <v>42923</v>
      </c>
      <c r="L34" s="145"/>
      <c r="M34" s="145"/>
      <c r="N34" s="145"/>
      <c r="O34" s="148"/>
      <c r="P34" s="148"/>
      <c r="Q34" s="148"/>
      <c r="R34" s="148"/>
      <c r="S34" s="148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</row>
    <row r="35" spans="1:141" s="18" customFormat="1" ht="12.75">
      <c r="A35" s="153" t="s">
        <v>574</v>
      </c>
      <c r="B35" s="136">
        <v>42879</v>
      </c>
      <c r="C35" s="153" t="s">
        <v>575</v>
      </c>
      <c r="D35" s="154">
        <v>5916.91</v>
      </c>
      <c r="K35" s="136">
        <v>42926</v>
      </c>
      <c r="L35" s="145"/>
      <c r="M35" s="145"/>
      <c r="N35" s="145"/>
      <c r="O35" s="148"/>
      <c r="P35" s="148"/>
      <c r="Q35" s="148"/>
      <c r="R35" s="148"/>
      <c r="S35" s="148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</row>
    <row r="36" spans="1:141" s="18" customFormat="1" ht="12.75">
      <c r="A36" s="153" t="s">
        <v>576</v>
      </c>
      <c r="B36" s="136">
        <v>42906</v>
      </c>
      <c r="C36" s="153" t="s">
        <v>577</v>
      </c>
      <c r="D36" s="154">
        <v>959.43</v>
      </c>
      <c r="K36" s="136">
        <v>42926</v>
      </c>
      <c r="L36" s="145"/>
      <c r="M36" s="145"/>
      <c r="N36" s="145"/>
      <c r="O36" s="148"/>
      <c r="P36" s="148"/>
      <c r="Q36" s="148"/>
      <c r="R36" s="148"/>
      <c r="S36" s="148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</row>
    <row r="37" spans="1:141" s="18" customFormat="1" ht="12.75">
      <c r="A37" s="153" t="s">
        <v>578</v>
      </c>
      <c r="B37" s="136">
        <v>42916</v>
      </c>
      <c r="C37" s="153" t="s">
        <v>579</v>
      </c>
      <c r="D37" s="154">
        <v>1516.81</v>
      </c>
      <c r="K37" s="136">
        <v>42926</v>
      </c>
      <c r="L37" s="145"/>
      <c r="M37" s="145"/>
      <c r="N37" s="145"/>
      <c r="O37" s="148"/>
      <c r="P37" s="148"/>
      <c r="Q37" s="148"/>
      <c r="R37" s="148"/>
      <c r="S37" s="148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</row>
    <row r="38" spans="1:141" s="18" customFormat="1" ht="12.75">
      <c r="A38" s="153" t="s">
        <v>580</v>
      </c>
      <c r="B38" s="136">
        <v>42916</v>
      </c>
      <c r="C38" s="153" t="s">
        <v>581</v>
      </c>
      <c r="D38" s="154">
        <v>3000</v>
      </c>
      <c r="K38" s="136">
        <v>42927</v>
      </c>
      <c r="L38" s="145"/>
      <c r="M38" s="145"/>
      <c r="N38" s="145"/>
      <c r="O38" s="148"/>
      <c r="P38" s="148"/>
      <c r="Q38" s="148"/>
      <c r="R38" s="148"/>
      <c r="S38" s="148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</row>
    <row r="39" spans="1:141" s="18" customFormat="1" ht="12.75">
      <c r="A39" s="153" t="s">
        <v>582</v>
      </c>
      <c r="B39" s="136">
        <v>42916</v>
      </c>
      <c r="C39" s="153" t="s">
        <v>583</v>
      </c>
      <c r="D39" s="154">
        <v>237.6</v>
      </c>
      <c r="K39" s="136">
        <v>42927</v>
      </c>
      <c r="L39" s="145"/>
      <c r="M39" s="145"/>
      <c r="N39" s="145"/>
      <c r="O39" s="148"/>
      <c r="P39" s="148"/>
      <c r="Q39" s="148"/>
      <c r="R39" s="148"/>
      <c r="S39" s="148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</row>
    <row r="40" spans="1:141" s="18" customFormat="1" ht="12.75">
      <c r="A40" s="153" t="s">
        <v>584</v>
      </c>
      <c r="B40" s="136">
        <v>42916</v>
      </c>
      <c r="C40" s="153" t="s">
        <v>585</v>
      </c>
      <c r="D40" s="154">
        <v>15901.82</v>
      </c>
      <c r="G40" s="158"/>
      <c r="K40" s="136">
        <v>42928</v>
      </c>
      <c r="L40" s="145"/>
      <c r="M40" s="145"/>
      <c r="N40" s="159"/>
      <c r="O40" s="160"/>
      <c r="P40" s="160"/>
      <c r="Q40" s="160"/>
      <c r="R40" s="155"/>
      <c r="S40" s="155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</row>
    <row r="41" spans="1:141" s="18" customFormat="1" ht="12.75">
      <c r="A41" s="153" t="s">
        <v>586</v>
      </c>
      <c r="B41" s="136">
        <v>42916</v>
      </c>
      <c r="C41" s="153" t="s">
        <v>587</v>
      </c>
      <c r="D41" s="154">
        <v>1605.1</v>
      </c>
      <c r="G41" s="158"/>
      <c r="K41" s="136">
        <v>42928</v>
      </c>
      <c r="L41" s="145"/>
      <c r="M41" s="145"/>
      <c r="N41" s="159"/>
      <c r="O41" s="160"/>
      <c r="P41" s="160"/>
      <c r="Q41" s="160"/>
      <c r="R41" s="155"/>
      <c r="S41" s="155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</row>
    <row r="42" spans="1:22" s="18" customFormat="1" ht="12.75">
      <c r="A42" s="150"/>
      <c r="B42" s="145"/>
      <c r="C42" s="149"/>
      <c r="D42" s="147"/>
      <c r="K42" s="145"/>
      <c r="L42" s="145"/>
      <c r="M42" s="145"/>
      <c r="N42" s="145"/>
      <c r="O42" s="148"/>
      <c r="P42" s="148"/>
      <c r="Q42" s="148"/>
      <c r="R42" s="148"/>
      <c r="T42" s="147"/>
      <c r="U42" s="147"/>
      <c r="V42" s="143"/>
    </row>
    <row r="43" spans="1:22" s="18" customFormat="1" ht="12.75">
      <c r="A43" s="150"/>
      <c r="B43" s="145"/>
      <c r="C43" s="149"/>
      <c r="D43" s="147"/>
      <c r="K43" s="145"/>
      <c r="L43" s="145"/>
      <c r="M43" s="145"/>
      <c r="N43" s="145"/>
      <c r="O43" s="148"/>
      <c r="P43" s="148"/>
      <c r="Q43" s="148"/>
      <c r="R43" s="148"/>
      <c r="T43" s="147"/>
      <c r="U43" s="147"/>
      <c r="V43" s="143"/>
    </row>
    <row r="44" spans="1:22" s="18" customFormat="1" ht="12.75">
      <c r="A44" s="150"/>
      <c r="B44" s="145"/>
      <c r="C44" s="149"/>
      <c r="D44" s="147"/>
      <c r="K44" s="145"/>
      <c r="L44" s="145"/>
      <c r="M44" s="145"/>
      <c r="N44" s="145"/>
      <c r="O44" s="148"/>
      <c r="P44" s="148"/>
      <c r="Q44" s="148"/>
      <c r="R44" s="148"/>
      <c r="T44" s="147"/>
      <c r="U44" s="147"/>
      <c r="V44" s="143"/>
    </row>
    <row r="45" spans="1:22" s="18" customFormat="1" ht="12.75">
      <c r="A45" s="150"/>
      <c r="B45" s="145"/>
      <c r="C45" s="149"/>
      <c r="D45" s="147"/>
      <c r="F45" s="147"/>
      <c r="K45" s="145"/>
      <c r="L45" s="145"/>
      <c r="M45" s="145"/>
      <c r="N45" s="145"/>
      <c r="O45" s="148"/>
      <c r="P45" s="148"/>
      <c r="Q45" s="148"/>
      <c r="R45" s="148"/>
      <c r="T45" s="147"/>
      <c r="U45" s="147"/>
      <c r="V45" s="143"/>
    </row>
    <row r="46" spans="1:22" s="18" customFormat="1" ht="12.75">
      <c r="A46" s="150"/>
      <c r="B46" s="145"/>
      <c r="C46" s="149"/>
      <c r="D46" s="147"/>
      <c r="K46" s="145"/>
      <c r="L46" s="145"/>
      <c r="M46" s="145"/>
      <c r="N46" s="145"/>
      <c r="O46" s="148"/>
      <c r="P46" s="148"/>
      <c r="Q46" s="148"/>
      <c r="R46" s="148"/>
      <c r="T46" s="147"/>
      <c r="U46" s="147"/>
      <c r="V46" s="143"/>
    </row>
    <row r="47" spans="1:22" s="18" customFormat="1" ht="12.75">
      <c r="A47" s="150"/>
      <c r="B47" s="145"/>
      <c r="C47" s="149"/>
      <c r="D47" s="147"/>
      <c r="K47" s="145"/>
      <c r="L47" s="145"/>
      <c r="M47" s="145"/>
      <c r="N47" s="145"/>
      <c r="O47" s="148"/>
      <c r="P47" s="148"/>
      <c r="Q47" s="148"/>
      <c r="R47" s="148"/>
      <c r="T47" s="147"/>
      <c r="U47" s="147"/>
      <c r="V47" s="143"/>
    </row>
    <row r="48" spans="1:22" s="18" customFormat="1" ht="12.75">
      <c r="A48" s="150"/>
      <c r="B48" s="145"/>
      <c r="C48" s="149"/>
      <c r="D48" s="147"/>
      <c r="K48" s="145"/>
      <c r="L48" s="145"/>
      <c r="M48" s="145"/>
      <c r="N48" s="145"/>
      <c r="O48" s="148"/>
      <c r="P48" s="148"/>
      <c r="Q48" s="148"/>
      <c r="R48" s="148"/>
      <c r="T48" s="147"/>
      <c r="U48" s="147"/>
      <c r="V48" s="143"/>
    </row>
    <row r="49" spans="1:22" s="18" customFormat="1" ht="12.75">
      <c r="A49" s="150"/>
      <c r="B49" s="145"/>
      <c r="C49" s="149"/>
      <c r="D49" s="147"/>
      <c r="F49" s="147"/>
      <c r="K49" s="145"/>
      <c r="L49" s="145"/>
      <c r="M49" s="145"/>
      <c r="N49" s="145"/>
      <c r="O49" s="148"/>
      <c r="P49" s="148"/>
      <c r="Q49" s="148"/>
      <c r="R49" s="148"/>
      <c r="T49" s="147"/>
      <c r="U49" s="147"/>
      <c r="V49" s="143"/>
    </row>
    <row r="50" spans="1:22" s="18" customFormat="1" ht="12.75">
      <c r="A50" s="150"/>
      <c r="B50" s="145"/>
      <c r="C50" s="149"/>
      <c r="D50" s="147"/>
      <c r="K50" s="145"/>
      <c r="L50" s="145"/>
      <c r="M50" s="145"/>
      <c r="N50" s="145"/>
      <c r="O50" s="148"/>
      <c r="P50" s="148"/>
      <c r="Q50" s="148"/>
      <c r="R50" s="148"/>
      <c r="T50" s="147"/>
      <c r="U50" s="147"/>
      <c r="V50" s="143"/>
    </row>
    <row r="51" spans="1:22" s="18" customFormat="1" ht="12.75">
      <c r="A51" s="150"/>
      <c r="B51" s="145"/>
      <c r="C51" s="149"/>
      <c r="D51" s="147"/>
      <c r="K51" s="145"/>
      <c r="L51" s="145"/>
      <c r="M51" s="145"/>
      <c r="N51" s="145"/>
      <c r="O51" s="148"/>
      <c r="P51" s="148"/>
      <c r="Q51" s="148"/>
      <c r="R51" s="148"/>
      <c r="T51" s="147"/>
      <c r="U51" s="147"/>
      <c r="V51" s="143"/>
    </row>
    <row r="52" spans="1:19" ht="12.75">
      <c r="A52" s="138"/>
      <c r="B52" s="140"/>
      <c r="C52" s="138"/>
      <c r="D52" s="141"/>
      <c r="F52" s="8"/>
      <c r="G52" s="139"/>
      <c r="O52" s="96"/>
      <c r="P52" s="96"/>
      <c r="Q52" s="96"/>
      <c r="R52" s="135"/>
      <c r="S52" s="135"/>
    </row>
    <row r="53" spans="1:19" ht="12.75">
      <c r="A53" s="138"/>
      <c r="B53" s="140"/>
      <c r="C53" s="138"/>
      <c r="D53" s="142"/>
      <c r="G53" s="139"/>
      <c r="O53" s="96"/>
      <c r="P53" s="96"/>
      <c r="Q53" s="96"/>
      <c r="R53" s="135"/>
      <c r="S53" s="135"/>
    </row>
    <row r="54" spans="1:19" ht="12.75">
      <c r="A54" s="138"/>
      <c r="B54" s="140"/>
      <c r="C54" s="138"/>
      <c r="D54" s="142"/>
      <c r="G54" s="139"/>
      <c r="O54" s="96"/>
      <c r="P54" s="96"/>
      <c r="Q54" s="96"/>
      <c r="R54" s="135"/>
      <c r="S54" s="135"/>
    </row>
    <row r="55" spans="1:19" ht="12.75">
      <c r="A55" s="138"/>
      <c r="B55" s="140"/>
      <c r="C55" s="138"/>
      <c r="D55" s="138"/>
      <c r="G55" s="139"/>
      <c r="O55" s="96"/>
      <c r="P55" s="96"/>
      <c r="Q55" s="96"/>
      <c r="R55" s="135"/>
      <c r="S55" s="135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USR05</dc:creator>
  <cp:keywords/>
  <dc:description/>
  <cp:lastModifiedBy>USR05</cp:lastModifiedBy>
  <cp:lastPrinted>2017-07-12T11:32:37Z</cp:lastPrinted>
  <dcterms:created xsi:type="dcterms:W3CDTF">2013-12-21T08:23:27Z</dcterms:created>
  <dcterms:modified xsi:type="dcterms:W3CDTF">2017-07-13T07:12:55Z</dcterms:modified>
  <cp:category/>
  <cp:version/>
  <cp:contentType/>
  <cp:contentStatus/>
</cp:coreProperties>
</file>