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3"/>
  </bookViews>
  <sheets>
    <sheet name="INFORME" sheetId="1" r:id="rId1"/>
    <sheet name="detalle1" sheetId="2" r:id="rId2"/>
    <sheet name="detalle2" sheetId="3" r:id="rId3"/>
    <sheet name="detalle32" sheetId="4" r:id="rId4"/>
  </sheets>
  <definedNames>
    <definedName name="_xlnm.Print_Area" localSheetId="1">'detalle1'!$A$3:$R$131</definedName>
    <definedName name="_xlnm.Print_Area" localSheetId="2">'detalle2'!$A$1:$R$21</definedName>
    <definedName name="_xlnm.Print_Area" localSheetId="3">'detalle32'!$A$3:$P$19</definedName>
  </definedNames>
  <calcPr fullCalcOnLoad="1"/>
</workbook>
</file>

<file path=xl/sharedStrings.xml><?xml version="1.0" encoding="utf-8"?>
<sst xmlns="http://schemas.openxmlformats.org/spreadsheetml/2006/main" count="580" uniqueCount="515">
  <si>
    <t>20 -</t>
  </si>
  <si>
    <t>21 -</t>
  </si>
  <si>
    <t>22 -</t>
  </si>
  <si>
    <t>23 -</t>
  </si>
  <si>
    <t>2X -</t>
  </si>
  <si>
    <t>6X -</t>
  </si>
  <si>
    <t>%</t>
  </si>
  <si>
    <t>* 2. eta 6. kapituluari dagozkion fakturak soilik</t>
  </si>
  <si>
    <t>Partida</t>
  </si>
  <si>
    <t>ADO-17</t>
  </si>
  <si>
    <t>ADO-12</t>
  </si>
  <si>
    <t>capit</t>
  </si>
  <si>
    <t>29 -</t>
  </si>
  <si>
    <t>Entidad local:</t>
  </si>
  <si>
    <t>OARSOALDEA</t>
  </si>
  <si>
    <t>1. Pagos realizados en el trimestre. Plazo desde el reconocimiento de la obligación.</t>
  </si>
  <si>
    <t>1.1. Por clasificación económica.</t>
  </si>
  <si>
    <t>Pagos en el trimestre</t>
  </si>
  <si>
    <t>Plazo de pago</t>
  </si>
  <si>
    <t>(promedio de días)</t>
  </si>
  <si>
    <t>Total</t>
  </si>
  <si>
    <t>De las de fuera de plazo</t>
  </si>
  <si>
    <t>Pagos realizados en el trimestre</t>
  </si>
  <si>
    <t>Dentro del plazo legal</t>
  </si>
  <si>
    <t>Fuera del plazo legal</t>
  </si>
  <si>
    <t>Número de pagos</t>
  </si>
  <si>
    <t>Importe total</t>
  </si>
  <si>
    <t>Gasto en bienes corrientes y servicios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</si>
  <si>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</si>
  <si>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</si>
  <si>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</si>
  <si>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</si>
  <si>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</si>
  <si>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realez</t>
  </si>
  <si>
    <t>Pagos pendientes de aplicar al presupuesto*</t>
  </si>
  <si>
    <t>Pagos pendientes de aplicar al presupuesto</t>
  </si>
  <si>
    <t>sólo facturas correspondientes a capitulos 2 y 6</t>
  </si>
  <si>
    <t>1.2. Por plazos</t>
  </si>
  <si>
    <t>Numero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</si>
  <si>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</si>
  <si>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</si>
  <si>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</si>
  <si>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</si>
  <si>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</si>
  <si>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</si>
  <si>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2. Facturas pendientes de pago. Plazo dede el reconocimiento de la obligación</t>
  </si>
  <si>
    <t>Facturas y documentos justificativos pendientes de pago al final del trimestre</t>
  </si>
  <si>
    <t>Inversiones reales</t>
  </si>
  <si>
    <t>* sólo facturas correspondientes a capítulos 2 y 6</t>
  </si>
  <si>
    <t>Pendientes de pago al finalizar el trimestre</t>
  </si>
  <si>
    <t>Número de operaciones</t>
  </si>
  <si>
    <t>3. Facturas y documentos justificativos sin obligación reconocida al finalizar el trimestre</t>
  </si>
  <si>
    <t>3.1. Con más de tres meses desde su entrada en registro</t>
  </si>
  <si>
    <t>Facturas y documentos justificativos sin obligación reconocida pasados más de tres meses desde su registro</t>
  </si>
  <si>
    <t>Plazo (promedio de días)</t>
  </si>
  <si>
    <t>Número</t>
  </si>
  <si>
    <t>3.2. Número de días desde su entrada en registro</t>
  </si>
  <si>
    <t>Facturas y documentos justificativos sin obligación reconocida</t>
  </si>
  <si>
    <t>Facturas sin obligación reconocida</t>
  </si>
  <si>
    <t>4. Plazo medio de pago de la entidad (PMP)</t>
  </si>
  <si>
    <t>PMP del trimestre</t>
  </si>
  <si>
    <t>Operaciones pagadas</t>
  </si>
  <si>
    <t>Ratio</t>
  </si>
  <si>
    <t>Importe</t>
  </si>
  <si>
    <t>Operaciones pendientes de pago</t>
  </si>
  <si>
    <t>PMP</t>
  </si>
  <si>
    <t>Observaciones sobre el PMP:</t>
  </si>
  <si>
    <t>INFORMACION SOBRE PLAZOS DE PAGO</t>
  </si>
  <si>
    <t>Ejercicio:</t>
  </si>
  <si>
    <t>Trimestre:</t>
  </si>
  <si>
    <t>Número fra</t>
  </si>
  <si>
    <t>Tercero</t>
  </si>
  <si>
    <t>Concepto</t>
  </si>
  <si>
    <t>Fecha O</t>
  </si>
  <si>
    <t>Fecha P</t>
  </si>
  <si>
    <t>Artíc.</t>
  </si>
  <si>
    <t>ponderación 1</t>
  </si>
  <si>
    <t>ponderación 2</t>
  </si>
  <si>
    <t>En plazo</t>
  </si>
  <si>
    <t>ESTO NO RELLENAR</t>
  </si>
  <si>
    <t>Facturas que en el trimestre se han quedado sin pagar (hechas O)</t>
  </si>
  <si>
    <t>Número
 expediente</t>
  </si>
  <si>
    <t>Fecha fra</t>
  </si>
  <si>
    <t>Código
tercero</t>
  </si>
  <si>
    <t>Fecha
 registro</t>
  </si>
  <si>
    <t>Fecha
 Descent.</t>
  </si>
  <si>
    <t>Plazo R-O</t>
  </si>
  <si>
    <t>Plazo
 O
 - fin trim.</t>
  </si>
  <si>
    <t>Plazo
 R 
 - fin trim</t>
  </si>
  <si>
    <t>Fin Trim.</t>
  </si>
  <si>
    <t>hautazkoak</t>
  </si>
  <si>
    <t>Hiruhilekoan ordaindutako fakturak</t>
  </si>
  <si>
    <t>betebeharrekoak</t>
  </si>
  <si>
    <t>HH buk</t>
  </si>
  <si>
    <t>onarpena</t>
  </si>
  <si>
    <t>ordainketa</t>
  </si>
  <si>
    <t>Hiruhilekoan O egin gabe gelditu direnak</t>
  </si>
  <si>
    <t>HH bukaera</t>
  </si>
  <si>
    <t>3er trimestre</t>
  </si>
  <si>
    <t>Gastos en bienes y servicios</t>
  </si>
  <si>
    <t>En la ejecución del presupuesto</t>
  </si>
  <si>
    <t>entre 31 y 60 días</t>
  </si>
  <si>
    <t>entre 61 y 90 días</t>
  </si>
  <si>
    <t>más de 90 días</t>
  </si>
  <si>
    <t>Número expediente</t>
  </si>
  <si>
    <t>Plazo
 R-fin trim</t>
  </si>
  <si>
    <t>Fecha factura</t>
  </si>
  <si>
    <t>Código.
Tercero</t>
  </si>
  <si>
    <t>Fecha registro</t>
  </si>
  <si>
    <t>Fecha descent.</t>
  </si>
  <si>
    <t>Plazp R
 O</t>
  </si>
  <si>
    <t>Plazo
 O-P</t>
  </si>
  <si>
    <t>Plazo
 R-P</t>
  </si>
  <si>
    <t>FCC1600007</t>
  </si>
  <si>
    <t>7/2016</t>
  </si>
  <si>
    <t>FCC1600408</t>
  </si>
  <si>
    <t>053-0007-209980</t>
  </si>
  <si>
    <t>FCC1600416</t>
  </si>
  <si>
    <t>08-2015</t>
  </si>
  <si>
    <t>FCC1600421</t>
  </si>
  <si>
    <t>S 85</t>
  </si>
  <si>
    <t>FCC1600422</t>
  </si>
  <si>
    <t>S 86</t>
  </si>
  <si>
    <t>FCC1600464</t>
  </si>
  <si>
    <t>1607C0621592</t>
  </si>
  <si>
    <t>FCC1600465</t>
  </si>
  <si>
    <t>A 20817</t>
  </si>
  <si>
    <t>FCC1600471</t>
  </si>
  <si>
    <t>28-G680-827815</t>
  </si>
  <si>
    <t>FCC1600472</t>
  </si>
  <si>
    <t>FLL AWC31875</t>
  </si>
  <si>
    <t>FCC1600473</t>
  </si>
  <si>
    <t>10807</t>
  </si>
  <si>
    <t>FCC1600474</t>
  </si>
  <si>
    <t>10808</t>
  </si>
  <si>
    <t>FCC1600480</t>
  </si>
  <si>
    <t>16/A-044</t>
  </si>
  <si>
    <t>FCC1600492</t>
  </si>
  <si>
    <t>A20911</t>
  </si>
  <si>
    <t>FCC1600500</t>
  </si>
  <si>
    <t>000000000971472</t>
  </si>
  <si>
    <t>FCC1600503</t>
  </si>
  <si>
    <t>G-12915</t>
  </si>
  <si>
    <t>FCC1600504</t>
  </si>
  <si>
    <t>G-12908</t>
  </si>
  <si>
    <t>FCC1600506</t>
  </si>
  <si>
    <t>16-0063</t>
  </si>
  <si>
    <t>FCC1600507</t>
  </si>
  <si>
    <t>274/2016</t>
  </si>
  <si>
    <t>FCC1600508</t>
  </si>
  <si>
    <t>A0016-034</t>
  </si>
  <si>
    <t>FCC1600509</t>
  </si>
  <si>
    <t>000241</t>
  </si>
  <si>
    <t>FCC1600510</t>
  </si>
  <si>
    <t>F2016/0028</t>
  </si>
  <si>
    <t>FCC1600511</t>
  </si>
  <si>
    <t>1/2016/VE</t>
  </si>
  <si>
    <t>FCC1600512</t>
  </si>
  <si>
    <t>186</t>
  </si>
  <si>
    <t>FCC1600513</t>
  </si>
  <si>
    <t>187</t>
  </si>
  <si>
    <t>FCC1600514</t>
  </si>
  <si>
    <t>188</t>
  </si>
  <si>
    <t>FCC1600515</t>
  </si>
  <si>
    <t>2016/3485</t>
  </si>
  <si>
    <t>FCC1600516</t>
  </si>
  <si>
    <t>2016/3430</t>
  </si>
  <si>
    <t>FCC1600518</t>
  </si>
  <si>
    <t>20160456</t>
  </si>
  <si>
    <t>FCC1600519</t>
  </si>
  <si>
    <t>20160460</t>
  </si>
  <si>
    <t>FCC1600520</t>
  </si>
  <si>
    <t>10</t>
  </si>
  <si>
    <t>FCC1600521</t>
  </si>
  <si>
    <t>00002482</t>
  </si>
  <si>
    <t>FCC1600522</t>
  </si>
  <si>
    <t>00002436</t>
  </si>
  <si>
    <t>FCC1600523</t>
  </si>
  <si>
    <t>21108/2016</t>
  </si>
  <si>
    <t>FCC1600524</t>
  </si>
  <si>
    <t>21114/2016</t>
  </si>
  <si>
    <t>FCC1600527</t>
  </si>
  <si>
    <t>201605708</t>
  </si>
  <si>
    <t>FCC1600528</t>
  </si>
  <si>
    <t>BE-140</t>
  </si>
  <si>
    <t>FCC1600529</t>
  </si>
  <si>
    <t>005</t>
  </si>
  <si>
    <t>FCC1600532</t>
  </si>
  <si>
    <t>20160713010005012</t>
  </si>
  <si>
    <t>FCC1600533</t>
  </si>
  <si>
    <t>034</t>
  </si>
  <si>
    <t>FCC1600534</t>
  </si>
  <si>
    <t>325/16/GIP</t>
  </si>
  <si>
    <t>FCC1600537</t>
  </si>
  <si>
    <t>16/A-051</t>
  </si>
  <si>
    <t>FCC1600538</t>
  </si>
  <si>
    <t>SI201610359</t>
  </si>
  <si>
    <t>FCC1600539</t>
  </si>
  <si>
    <t>750/2016</t>
  </si>
  <si>
    <t>FCC1600544</t>
  </si>
  <si>
    <t>20160714010005230</t>
  </si>
  <si>
    <t>FCC1600545</t>
  </si>
  <si>
    <t>20160714010243321</t>
  </si>
  <si>
    <t>FCC1600546</t>
  </si>
  <si>
    <t>20160714010404571</t>
  </si>
  <si>
    <t>FCC1600547</t>
  </si>
  <si>
    <t>20160714010154010</t>
  </si>
  <si>
    <t>FCC1600548</t>
  </si>
  <si>
    <t>20160714010404569</t>
  </si>
  <si>
    <t>FCC1600549</t>
  </si>
  <si>
    <t>20160714010404570</t>
  </si>
  <si>
    <t>FCC1600550</t>
  </si>
  <si>
    <t>16267</t>
  </si>
  <si>
    <t>FCC1600551</t>
  </si>
  <si>
    <t>1600749</t>
  </si>
  <si>
    <t>FCC1600552</t>
  </si>
  <si>
    <t>F16-111</t>
  </si>
  <si>
    <t>FCC1600553</t>
  </si>
  <si>
    <t>A 16.849</t>
  </si>
  <si>
    <t>FCC1600554</t>
  </si>
  <si>
    <t>228157</t>
  </si>
  <si>
    <t>FCC1600563</t>
  </si>
  <si>
    <t>BH1209</t>
  </si>
  <si>
    <t>FCC1600564</t>
  </si>
  <si>
    <t>BG7030</t>
  </si>
  <si>
    <t>FCC1600565</t>
  </si>
  <si>
    <t>BH0125</t>
  </si>
  <si>
    <t>FCC1600566</t>
  </si>
  <si>
    <t>393711</t>
  </si>
  <si>
    <t>FCC1600567</t>
  </si>
  <si>
    <t>BG6453</t>
  </si>
  <si>
    <t>FCC1600568</t>
  </si>
  <si>
    <t>19/2016</t>
  </si>
  <si>
    <t>FCC1600569</t>
  </si>
  <si>
    <t>20160816010258563</t>
  </si>
  <si>
    <t>FCC1600570</t>
  </si>
  <si>
    <t>20160816010450249</t>
  </si>
  <si>
    <t>FCC1600571</t>
  </si>
  <si>
    <t>20160811010377677</t>
  </si>
  <si>
    <t>FCC1600572</t>
  </si>
  <si>
    <t>20160816010450250</t>
  </si>
  <si>
    <t>FCC1600573</t>
  </si>
  <si>
    <t>20160812010005256</t>
  </si>
  <si>
    <t>FCC1600574</t>
  </si>
  <si>
    <t>20160822010165790</t>
  </si>
  <si>
    <t>FCC1600577</t>
  </si>
  <si>
    <t>3/160004021</t>
  </si>
  <si>
    <t>FCC1600578</t>
  </si>
  <si>
    <t>BG8722</t>
  </si>
  <si>
    <t>FCC1600579</t>
  </si>
  <si>
    <t>CS79515</t>
  </si>
  <si>
    <t>FCC1600580</t>
  </si>
  <si>
    <t>AS16719</t>
  </si>
  <si>
    <t>FCC1600581</t>
  </si>
  <si>
    <t>CS79516</t>
  </si>
  <si>
    <t>FCC1600582</t>
  </si>
  <si>
    <t>16238</t>
  </si>
  <si>
    <t>FCC1600583</t>
  </si>
  <si>
    <t>16-S-1944</t>
  </si>
  <si>
    <t>FCC1600584</t>
  </si>
  <si>
    <t>20160714010005089</t>
  </si>
  <si>
    <t>FCC1600585</t>
  </si>
  <si>
    <t>20160714010005088</t>
  </si>
  <si>
    <t>FCC1600586</t>
  </si>
  <si>
    <t>20160714010297923</t>
  </si>
  <si>
    <t>FCC1600587</t>
  </si>
  <si>
    <t>20160812010005122</t>
  </si>
  <si>
    <t>FCC1600588</t>
  </si>
  <si>
    <t>388</t>
  </si>
  <si>
    <t>FCC1600589</t>
  </si>
  <si>
    <t>16263</t>
  </si>
  <si>
    <t>FCC1600590</t>
  </si>
  <si>
    <t>G-12956</t>
  </si>
  <si>
    <t>FCC1600591</t>
  </si>
  <si>
    <t>AS16779</t>
  </si>
  <si>
    <t>FCC1600592</t>
  </si>
  <si>
    <t>16-S-2226</t>
  </si>
  <si>
    <t>FCC1600593</t>
  </si>
  <si>
    <t>16279</t>
  </si>
  <si>
    <t>FCC1600594</t>
  </si>
  <si>
    <t>2102</t>
  </si>
  <si>
    <t>FCC1600595</t>
  </si>
  <si>
    <t>20160816010005047</t>
  </si>
  <si>
    <t>FCC1600596</t>
  </si>
  <si>
    <t>20160817010264601</t>
  </si>
  <si>
    <t>FCC1600597</t>
  </si>
  <si>
    <t>20160816010005048</t>
  </si>
  <si>
    <t>FCC1600598</t>
  </si>
  <si>
    <t>916/2016</t>
  </si>
  <si>
    <t>FCC1600599</t>
  </si>
  <si>
    <t>16308</t>
  </si>
  <si>
    <t>FCC1600600</t>
  </si>
  <si>
    <t>364599</t>
  </si>
  <si>
    <t>FCC1600601</t>
  </si>
  <si>
    <t>BH3708</t>
  </si>
  <si>
    <t>FCC1600605</t>
  </si>
  <si>
    <t>20160714010005090</t>
  </si>
  <si>
    <t>FCC1600606</t>
  </si>
  <si>
    <t>20160812010005123</t>
  </si>
  <si>
    <t>FCC1600607</t>
  </si>
  <si>
    <t>16304</t>
  </si>
  <si>
    <t>FCC1600610</t>
  </si>
  <si>
    <t>28-I680-837378</t>
  </si>
  <si>
    <t>FCC1600611</t>
  </si>
  <si>
    <t>28-H680-833271</t>
  </si>
  <si>
    <t>FCC1600612</t>
  </si>
  <si>
    <t>TA5E60094472</t>
  </si>
  <si>
    <t>FCC1600613</t>
  </si>
  <si>
    <t>TA5E50095763</t>
  </si>
  <si>
    <t>FCC1600614</t>
  </si>
  <si>
    <t>FLL AWC67414</t>
  </si>
  <si>
    <t>FCC1600615</t>
  </si>
  <si>
    <t>FLL AWD09299</t>
  </si>
  <si>
    <t>FCC1600616</t>
  </si>
  <si>
    <t>S136</t>
  </si>
  <si>
    <t>FCC1600617</t>
  </si>
  <si>
    <t>S133</t>
  </si>
  <si>
    <t>FCC1600618</t>
  </si>
  <si>
    <t>S126</t>
  </si>
  <si>
    <t>FCC1600619</t>
  </si>
  <si>
    <t>S135</t>
  </si>
  <si>
    <t>FCC1600620</t>
  </si>
  <si>
    <t>S134</t>
  </si>
  <si>
    <t>FCC1600621</t>
  </si>
  <si>
    <t>21/2016</t>
  </si>
  <si>
    <t>FCC1600622</t>
  </si>
  <si>
    <t>G-12950</t>
  </si>
  <si>
    <t>FCC1600623</t>
  </si>
  <si>
    <t>00203</t>
  </si>
  <si>
    <t>FCC1600624</t>
  </si>
  <si>
    <t>00204</t>
  </si>
  <si>
    <t>FCC1600625</t>
  </si>
  <si>
    <t>265</t>
  </si>
  <si>
    <t>FCC1600626</t>
  </si>
  <si>
    <t>361/16/GIP</t>
  </si>
  <si>
    <t>FCC1600627</t>
  </si>
  <si>
    <t>149/16</t>
  </si>
  <si>
    <t>FCC1600628</t>
  </si>
  <si>
    <t>FV160351</t>
  </si>
  <si>
    <t>FCC1600629</t>
  </si>
  <si>
    <t>162083</t>
  </si>
  <si>
    <t>FCC1600632</t>
  </si>
  <si>
    <t>VEN/2016/0049</t>
  </si>
  <si>
    <t>FCC1600635</t>
  </si>
  <si>
    <t>01L06JA</t>
  </si>
  <si>
    <t>FCC1600636</t>
  </si>
  <si>
    <t>01KYIOM</t>
  </si>
  <si>
    <t>FCC1600637</t>
  </si>
  <si>
    <t>01L06JC</t>
  </si>
  <si>
    <t>FCC1600638</t>
  </si>
  <si>
    <t>01L06JE</t>
  </si>
  <si>
    <t>FCC1600639</t>
  </si>
  <si>
    <t>01L06J8</t>
  </si>
  <si>
    <t>FCC1600640</t>
  </si>
  <si>
    <t>01L6Q46</t>
  </si>
  <si>
    <t>FCC1600641</t>
  </si>
  <si>
    <t>01L79FR</t>
  </si>
  <si>
    <t>FCC1600642</t>
  </si>
  <si>
    <t>01L6Q47</t>
  </si>
  <si>
    <t>FCC1600643</t>
  </si>
  <si>
    <t>01L6Q48</t>
  </si>
  <si>
    <t>FCC1600644</t>
  </si>
  <si>
    <t>01L6Q45</t>
  </si>
  <si>
    <t>FCC1600645</t>
  </si>
  <si>
    <t>01LGOH6</t>
  </si>
  <si>
    <t>FCC1600646</t>
  </si>
  <si>
    <t>01LH508</t>
  </si>
  <si>
    <t>FCC1600647</t>
  </si>
  <si>
    <t>01LGOH7</t>
  </si>
  <si>
    <t>FCC1600648</t>
  </si>
  <si>
    <t>01LGOH8</t>
  </si>
  <si>
    <t>FCC1600649</t>
  </si>
  <si>
    <t>01LGOH5</t>
  </si>
  <si>
    <t>FCC1600655</t>
  </si>
  <si>
    <t>BI9822</t>
  </si>
  <si>
    <t>FCC1600656</t>
  </si>
  <si>
    <t>7250119480</t>
  </si>
  <si>
    <t>FCC1600657</t>
  </si>
  <si>
    <t>1/2016/7208</t>
  </si>
  <si>
    <t>FCC1600658</t>
  </si>
  <si>
    <t>60348799</t>
  </si>
  <si>
    <t>FCC1600659</t>
  </si>
  <si>
    <t>201606032</t>
  </si>
  <si>
    <t>FCC1600661</t>
  </si>
  <si>
    <t>1608C0775519</t>
  </si>
  <si>
    <t>FCC1600662</t>
  </si>
  <si>
    <t>1609C0607818</t>
  </si>
  <si>
    <t>FCC1600663</t>
  </si>
  <si>
    <t>7250119481</t>
  </si>
  <si>
    <t>FCC1600664</t>
  </si>
  <si>
    <t>A/002204</t>
  </si>
  <si>
    <t>FCC1600665</t>
  </si>
  <si>
    <t>162423</t>
  </si>
  <si>
    <t>FCC1600667</t>
  </si>
  <si>
    <t>20160914010004750</t>
  </si>
  <si>
    <t>FCC1600671</t>
  </si>
  <si>
    <t>20160915010006863</t>
  </si>
  <si>
    <t>FCC1600672</t>
  </si>
  <si>
    <t>20160914010383370</t>
  </si>
  <si>
    <t>FCC1600673</t>
  </si>
  <si>
    <t>20160914010154433</t>
  </si>
  <si>
    <t>FCC1600674</t>
  </si>
  <si>
    <t>20160914010383369</t>
  </si>
  <si>
    <t>FCC1600675</t>
  </si>
  <si>
    <t>20160914010383367</t>
  </si>
  <si>
    <t>FCC1600676</t>
  </si>
  <si>
    <t>20160914010235256</t>
  </si>
  <si>
    <t>FCC1600679</t>
  </si>
  <si>
    <t>20160915010297791</t>
  </si>
  <si>
    <t>FCC1600680</t>
  </si>
  <si>
    <t>20160915010006653</t>
  </si>
  <si>
    <t>FCC1600681</t>
  </si>
  <si>
    <t>20160915010006654</t>
  </si>
  <si>
    <t>FCC1600686</t>
  </si>
  <si>
    <t>3/160004579</t>
  </si>
  <si>
    <t>FCC1600698</t>
  </si>
  <si>
    <t>B/1361782</t>
  </si>
  <si>
    <t>FCC1600700</t>
  </si>
  <si>
    <t>TA5E70091024</t>
  </si>
  <si>
    <t>FCC1600701</t>
  </si>
  <si>
    <t>165337</t>
  </si>
  <si>
    <t>FCC1600710</t>
  </si>
  <si>
    <t>20160915010006655</t>
  </si>
  <si>
    <t>FCC1600713</t>
  </si>
  <si>
    <t>6001282336</t>
  </si>
  <si>
    <t>FCC1600715</t>
  </si>
  <si>
    <t>02 TRIM 2016</t>
  </si>
  <si>
    <t>FCC1600716</t>
  </si>
  <si>
    <t>F000484</t>
  </si>
  <si>
    <t>FCC1600720</t>
  </si>
  <si>
    <t>S36-357</t>
  </si>
  <si>
    <t>FCC1600634</t>
  </si>
  <si>
    <t>109FB2016333</t>
  </si>
  <si>
    <t>FCC1600651</t>
  </si>
  <si>
    <t>2016/5698</t>
  </si>
  <si>
    <t>FCC1600660</t>
  </si>
  <si>
    <t>7699</t>
  </si>
  <si>
    <t>FCC1600666</t>
  </si>
  <si>
    <t>317/2016</t>
  </si>
  <si>
    <t>FCC1600668</t>
  </si>
  <si>
    <t>254</t>
  </si>
  <si>
    <t>FCC1600669</t>
  </si>
  <si>
    <t>E126</t>
  </si>
  <si>
    <t>FCC1600670</t>
  </si>
  <si>
    <t>2016/101</t>
  </si>
  <si>
    <t>FCC1600678</t>
  </si>
  <si>
    <t>A 21160</t>
  </si>
  <si>
    <t>FCC1600682</t>
  </si>
  <si>
    <t>21140/2016</t>
  </si>
  <si>
    <t>FCC1600683</t>
  </si>
  <si>
    <t>21143/2016</t>
  </si>
  <si>
    <t>FCC1600684</t>
  </si>
  <si>
    <t>11</t>
  </si>
  <si>
    <t>FCC1600687</t>
  </si>
  <si>
    <t>BJ8227</t>
  </si>
  <si>
    <t>FCC1600688</t>
  </si>
  <si>
    <t>KTB2016-007068</t>
  </si>
  <si>
    <t>FCC1600690</t>
  </si>
  <si>
    <t>FM 1969/2016</t>
  </si>
  <si>
    <t>FCC1600691</t>
  </si>
  <si>
    <t>126/16</t>
  </si>
  <si>
    <t>FCC1600697</t>
  </si>
  <si>
    <t>1037/2016</t>
  </si>
  <si>
    <t>FCC1600699</t>
  </si>
  <si>
    <t>1 000331</t>
  </si>
  <si>
    <t>FCC1600702</t>
  </si>
  <si>
    <t>16346</t>
  </si>
  <si>
    <t>FCC1600703</t>
  </si>
  <si>
    <t>415/16/GIP</t>
  </si>
  <si>
    <t>FCC1600704</t>
  </si>
  <si>
    <t>A/002475</t>
  </si>
  <si>
    <t>FCC1600705</t>
  </si>
  <si>
    <t>16350</t>
  </si>
  <si>
    <t>FCC1600706</t>
  </si>
  <si>
    <t>001327</t>
  </si>
  <si>
    <t>FCC1600709</t>
  </si>
  <si>
    <t>16322</t>
  </si>
  <si>
    <t>FCC1600711</t>
  </si>
  <si>
    <t>16-S-2500</t>
  </si>
  <si>
    <t>FCC1600712</t>
  </si>
  <si>
    <t>12</t>
  </si>
  <si>
    <t>FCC1600719</t>
  </si>
  <si>
    <t>16092016</t>
  </si>
  <si>
    <t>FCC1600721</t>
  </si>
  <si>
    <t>BK1319</t>
  </si>
  <si>
    <t>FCC1600723</t>
  </si>
  <si>
    <t>BJ9403</t>
  </si>
  <si>
    <t>FCC1600724</t>
  </si>
  <si>
    <t>A/002622</t>
  </si>
  <si>
    <t>FCC1600725</t>
  </si>
  <si>
    <t>160004PA00232</t>
  </si>
  <si>
    <t>FCC1600727</t>
  </si>
  <si>
    <t>604/16</t>
  </si>
  <si>
    <t>FCC1600728</t>
  </si>
  <si>
    <t>F-198/2016</t>
  </si>
  <si>
    <t>FCC1600732</t>
  </si>
  <si>
    <t>LIQUID.GTS 3º TRIM.</t>
  </si>
  <si>
    <t>FCC1600733</t>
  </si>
  <si>
    <t>162746</t>
  </si>
  <si>
    <t>FCC1600743</t>
  </si>
  <si>
    <t>00002518</t>
  </si>
  <si>
    <t>FCC1600744</t>
  </si>
  <si>
    <t>0002548</t>
  </si>
  <si>
    <t>FCC1600745</t>
  </si>
  <si>
    <t>7250120219</t>
  </si>
  <si>
    <t>FCC1600746</t>
  </si>
  <si>
    <t>7250120220</t>
  </si>
  <si>
    <t>FCC1600747</t>
  </si>
  <si>
    <t>162659</t>
  </si>
  <si>
    <t>FCC1600748</t>
  </si>
  <si>
    <t>2016/02489</t>
  </si>
  <si>
    <t>FCC1600752</t>
  </si>
  <si>
    <t>SI201612375</t>
  </si>
  <si>
    <t>FCC1600753</t>
  </si>
  <si>
    <t>SI201613451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</si>
</sst>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0" fillId="0" borderId="0" xfId="60" applyNumberFormat="1" applyFont="1">
      <alignment/>
      <protection/>
    </xf>
    <xf numFmtId="49" fontId="0" fillId="0" borderId="0" xfId="60" applyNumberFormat="1" applyFont="1" applyFill="1">
      <alignment/>
      <protection/>
    </xf>
    <xf numFmtId="0" fontId="0" fillId="0" borderId="0" xfId="60" applyFont="1">
      <alignment/>
      <protection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14" fontId="0" fillId="0" borderId="0" xfId="61" applyNumberFormat="1" applyFont="1">
      <alignment/>
      <protection/>
    </xf>
    <xf numFmtId="4" fontId="0" fillId="0" borderId="0" xfId="61" applyNumberFormat="1" applyFont="1">
      <alignment/>
      <protection/>
    </xf>
    <xf numFmtId="173" fontId="0" fillId="0" borderId="0" xfId="0" applyNumberFormat="1" applyFont="1" applyFill="1" applyAlignment="1">
      <alignment/>
    </xf>
    <xf numFmtId="14" fontId="0" fillId="0" borderId="0" xfId="60" applyNumberFormat="1" applyFont="1" applyFill="1" applyAlignment="1">
      <alignment/>
      <protection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14" fontId="0" fillId="0" borderId="0" xfId="60" applyNumberFormat="1" applyFont="1" applyFill="1">
      <alignment/>
      <protection/>
    </xf>
    <xf numFmtId="49" fontId="52" fillId="0" borderId="0" xfId="58" applyNumberFormat="1" applyFont="1">
      <alignment/>
      <protection/>
    </xf>
    <xf numFmtId="14" fontId="52" fillId="0" borderId="0" xfId="58" applyNumberFormat="1" applyFont="1">
      <alignment/>
      <protection/>
    </xf>
    <xf numFmtId="171" fontId="0" fillId="0" borderId="0" xfId="53" applyNumberFormat="1" applyFont="1" applyAlignment="1">
      <alignment/>
    </xf>
    <xf numFmtId="49" fontId="0" fillId="0" borderId="0" xfId="58" applyNumberFormat="1" applyFont="1">
      <alignment/>
      <protection/>
    </xf>
    <xf numFmtId="14" fontId="0" fillId="0" borderId="0" xfId="58" applyNumberFormat="1" applyFont="1">
      <alignment/>
      <protection/>
    </xf>
    <xf numFmtId="14" fontId="0" fillId="0" borderId="0" xfId="60" applyNumberFormat="1" applyFont="1" applyAlignment="1">
      <alignment/>
      <protection/>
    </xf>
    <xf numFmtId="49" fontId="53" fillId="0" borderId="0" xfId="58" applyNumberFormat="1" applyFont="1">
      <alignment/>
      <protection/>
    </xf>
    <xf numFmtId="14" fontId="53" fillId="0" borderId="0" xfId="58" applyNumberFormat="1" applyFont="1">
      <alignment/>
      <protection/>
    </xf>
    <xf numFmtId="171" fontId="2" fillId="0" borderId="0" xfId="53" applyNumberFormat="1" applyFont="1" applyAlignment="1">
      <alignment/>
    </xf>
    <xf numFmtId="14" fontId="2" fillId="0" borderId="0" xfId="60" applyNumberFormat="1" applyFont="1">
      <alignment/>
      <protection/>
    </xf>
    <xf numFmtId="0" fontId="2" fillId="0" borderId="0" xfId="0" applyNumberFormat="1" applyFont="1" applyAlignment="1">
      <alignment/>
    </xf>
    <xf numFmtId="14" fontId="2" fillId="44" borderId="0" xfId="60" applyNumberFormat="1" applyFont="1" applyFill="1">
      <alignment/>
      <protection/>
    </xf>
    <xf numFmtId="14" fontId="2" fillId="0" borderId="0" xfId="60" applyNumberFormat="1" applyFont="1" applyFill="1">
      <alignment/>
      <protection/>
    </xf>
    <xf numFmtId="0" fontId="0" fillId="0" borderId="0" xfId="0" applyFont="1" applyAlignment="1">
      <alignment/>
    </xf>
    <xf numFmtId="2" fontId="9" fillId="0" borderId="19" xfId="0" applyNumberFormat="1" applyFont="1" applyBorder="1" applyAlignment="1">
      <alignment horizontal="center"/>
    </xf>
    <xf numFmtId="0" fontId="12" fillId="45" borderId="48" xfId="0" applyFont="1" applyFill="1" applyBorder="1" applyAlignment="1">
      <alignment horizontal="center"/>
    </xf>
    <xf numFmtId="0" fontId="12" fillId="45" borderId="49" xfId="0" applyFont="1" applyFill="1" applyBorder="1" applyAlignment="1">
      <alignment horizontal="center"/>
    </xf>
    <xf numFmtId="0" fontId="12" fillId="45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0" fontId="4" fillId="37" borderId="5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/>
    </xf>
    <xf numFmtId="0" fontId="4" fillId="37" borderId="55" xfId="0" applyFont="1" applyFill="1" applyBorder="1" applyAlignment="1">
      <alignment horizontal="center"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38" borderId="56" xfId="0" applyFont="1" applyFill="1" applyBorder="1" applyAlignment="1">
      <alignment horizontal="right"/>
    </xf>
    <xf numFmtId="0" fontId="4" fillId="38" borderId="57" xfId="0" applyFont="1" applyFill="1" applyBorder="1" applyAlignment="1">
      <alignment horizontal="right"/>
    </xf>
    <xf numFmtId="0" fontId="4" fillId="37" borderId="5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59" xfId="0" applyFont="1" applyFill="1" applyBorder="1" applyAlignment="1">
      <alignment/>
    </xf>
    <xf numFmtId="0" fontId="4" fillId="46" borderId="60" xfId="0" applyFont="1" applyFill="1" applyBorder="1" applyAlignment="1">
      <alignment horizontal="right"/>
    </xf>
    <xf numFmtId="0" fontId="4" fillId="46" borderId="61" xfId="0" applyFont="1" applyFill="1" applyBorder="1" applyAlignment="1">
      <alignment horizontal="right"/>
    </xf>
    <xf numFmtId="0" fontId="4" fillId="46" borderId="62" xfId="0" applyFont="1" applyFill="1" applyBorder="1" applyAlignment="1">
      <alignment horizontal="right"/>
    </xf>
    <xf numFmtId="0" fontId="4" fillId="46" borderId="63" xfId="0" applyFont="1" applyFill="1" applyBorder="1" applyAlignment="1">
      <alignment horizontal="right"/>
    </xf>
    <xf numFmtId="0" fontId="4" fillId="46" borderId="34" xfId="0" applyFont="1" applyFill="1" applyBorder="1" applyAlignment="1">
      <alignment horizontal="right"/>
    </xf>
    <xf numFmtId="0" fontId="4" fillId="46" borderId="64" xfId="0" applyFont="1" applyFill="1" applyBorder="1" applyAlignment="1">
      <alignment horizontal="right"/>
    </xf>
    <xf numFmtId="0" fontId="4" fillId="38" borderId="65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48" xfId="0" applyFont="1" applyFill="1" applyBorder="1" applyAlignment="1">
      <alignment/>
    </xf>
    <xf numFmtId="0" fontId="4" fillId="38" borderId="66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40" borderId="67" xfId="0" applyFont="1" applyFill="1" applyBorder="1" applyAlignment="1">
      <alignment horizontal="left" vertical="top" wrapText="1"/>
    </xf>
    <xf numFmtId="0" fontId="2" fillId="40" borderId="68" xfId="0" applyFont="1" applyFill="1" applyBorder="1" applyAlignment="1">
      <alignment horizontal="left" vertical="top" wrapText="1"/>
    </xf>
    <xf numFmtId="0" fontId="4" fillId="46" borderId="69" xfId="0" applyFont="1" applyFill="1" applyBorder="1" applyAlignment="1">
      <alignment horizontal="right"/>
    </xf>
    <xf numFmtId="0" fontId="4" fillId="46" borderId="70" xfId="0" applyFont="1" applyFill="1" applyBorder="1" applyAlignment="1">
      <alignment horizontal="right"/>
    </xf>
    <xf numFmtId="0" fontId="4" fillId="46" borderId="71" xfId="0" applyFont="1" applyFill="1" applyBorder="1" applyAlignment="1">
      <alignment horizontal="right"/>
    </xf>
    <xf numFmtId="0" fontId="4" fillId="37" borderId="50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3" xfId="0" applyFont="1" applyBorder="1" applyAlignment="1">
      <alignment/>
    </xf>
    <xf numFmtId="0" fontId="4" fillId="37" borderId="72" xfId="0" applyFont="1" applyFill="1" applyBorder="1" applyAlignment="1">
      <alignment horizontal="center" wrapText="1"/>
    </xf>
    <xf numFmtId="0" fontId="4" fillId="37" borderId="5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4" fillId="37" borderId="74" xfId="0" applyFont="1" applyFill="1" applyBorder="1" applyAlignment="1">
      <alignment horizontal="center" wrapText="1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4" fillId="46" borderId="76" xfId="0" applyFont="1" applyFill="1" applyBorder="1" applyAlignment="1">
      <alignment horizontal="right"/>
    </xf>
    <xf numFmtId="0" fontId="4" fillId="46" borderId="32" xfId="0" applyFont="1" applyFill="1" applyBorder="1" applyAlignment="1">
      <alignment horizontal="right"/>
    </xf>
    <xf numFmtId="0" fontId="4" fillId="46" borderId="30" xfId="0" applyFont="1" applyFill="1" applyBorder="1" applyAlignment="1">
      <alignment horizontal="right"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zoomScalePageLayoutView="0" workbookViewId="0" topLeftCell="A61">
      <selection activeCell="D94" sqref="D94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66">
        <f>SUMSQ(D27:I27,D39:F40,D59:I59,D72:F72,D82:F83,E91:H91)</f>
        <v>981249507.8606796</v>
      </c>
      <c r="B1" s="166"/>
    </row>
    <row r="2" spans="1:9" s="42" customFormat="1" ht="15.75" customHeight="1">
      <c r="A2" s="167" t="s">
        <v>67</v>
      </c>
      <c r="B2" s="168"/>
      <c r="C2" s="168"/>
      <c r="D2" s="168"/>
      <c r="E2" s="168"/>
      <c r="F2" s="168"/>
      <c r="G2" s="168"/>
      <c r="H2" s="168"/>
      <c r="I2" s="169"/>
    </row>
    <row r="3" spans="1:9" s="42" customFormat="1" ht="15.75" customHeight="1">
      <c r="A3" s="43"/>
      <c r="B3" s="44"/>
      <c r="C3" s="45" t="s">
        <v>13</v>
      </c>
      <c r="D3" s="170" t="s">
        <v>14</v>
      </c>
      <c r="E3" s="170"/>
      <c r="F3" s="170"/>
      <c r="G3" s="170"/>
      <c r="H3" s="44"/>
      <c r="I3" s="46"/>
    </row>
    <row r="4" spans="1:9" s="42" customFormat="1" ht="15.75" customHeight="1">
      <c r="A4" s="43"/>
      <c r="B4" s="44"/>
      <c r="C4" s="47" t="s">
        <v>68</v>
      </c>
      <c r="D4" s="48">
        <v>2016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69</v>
      </c>
      <c r="D5" s="53" t="s">
        <v>98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15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16</v>
      </c>
    </row>
    <row r="13" spans="1:9" ht="12.75" customHeight="1">
      <c r="A13" s="171" t="s">
        <v>17</v>
      </c>
      <c r="B13" s="172"/>
      <c r="C13" s="173"/>
      <c r="D13" s="177" t="s">
        <v>18</v>
      </c>
      <c r="E13" s="178"/>
      <c r="F13" s="179" t="s">
        <v>22</v>
      </c>
      <c r="G13" s="180"/>
      <c r="H13" s="180"/>
      <c r="I13" s="181"/>
    </row>
    <row r="14" spans="1:9" ht="12.75" customHeight="1">
      <c r="A14" s="174"/>
      <c r="B14" s="175"/>
      <c r="C14" s="176"/>
      <c r="D14" s="182" t="s">
        <v>19</v>
      </c>
      <c r="E14" s="183"/>
      <c r="F14" s="184" t="s">
        <v>23</v>
      </c>
      <c r="G14" s="185"/>
      <c r="H14" s="185" t="s">
        <v>24</v>
      </c>
      <c r="I14" s="186"/>
    </row>
    <row r="15" spans="1:9" ht="22.5">
      <c r="A15" s="174"/>
      <c r="B15" s="175"/>
      <c r="C15" s="176"/>
      <c r="D15" s="63" t="s">
        <v>20</v>
      </c>
      <c r="E15" s="23" t="s">
        <v>21</v>
      </c>
      <c r="F15" s="60" t="s">
        <v>25</v>
      </c>
      <c r="G15" s="22" t="s">
        <v>26</v>
      </c>
      <c r="H15" s="22" t="s">
        <v>25</v>
      </c>
      <c r="I15" s="74" t="s">
        <v>26</v>
      </c>
    </row>
    <row r="16" spans="1:9" ht="12.75" customHeight="1">
      <c r="A16" s="187" t="s">
        <v>27</v>
      </c>
      <c r="B16" s="188"/>
      <c r="C16" s="188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157</v>
      </c>
      <c r="G16" s="24">
        <f>SUM(G17:G21)</f>
        <v>95259.9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28</v>
      </c>
      <c r="D17" s="66">
        <f>IF(F17+H17=0,0,SUMIF(detalle1!S:S,20,detalle1!T:T)/SUMIF(detalle1!S:S,20,detalle1!D:D))</f>
        <v>0</v>
      </c>
      <c r="E17" s="38">
        <f>IF(H17=0,0,SUMIF(detalle1!V:V,220,detalle1!T:T)/SUMIF(detalle1!V:V,220,detalle1!D:D))</f>
        <v>0</v>
      </c>
      <c r="F17" s="39">
        <f>COUNTIF(detalle1!V:V,120)</f>
        <v>3</v>
      </c>
      <c r="G17" s="26">
        <f>SUMIF(detalle1!V:V,120,detalle1!D:D)</f>
        <v>653.4000000000001</v>
      </c>
      <c r="H17" s="27">
        <f>COUNTIF(detalle1!V:V,220)</f>
        <v>0</v>
      </c>
      <c r="I17" s="85">
        <f>SUMIF(detalle1!V:V,220,detalle1!D:D)</f>
        <v>0</v>
      </c>
    </row>
    <row r="18" spans="1:9" ht="12.75" customHeight="1">
      <c r="A18" s="98"/>
      <c r="B18" s="99" t="s">
        <v>1</v>
      </c>
      <c r="C18" s="19" t="s">
        <v>29</v>
      </c>
      <c r="D18" s="66">
        <f>IF(F18+H18=0,0,SUMIF(detalle1!S:S,21,detalle1!T:T)/SUMIF(detalle1!S:S,21,detalle1!D:D))</f>
        <v>0</v>
      </c>
      <c r="E18" s="38">
        <f>IF(H18=0,0,SUMIF(detalle1!V:V,221,detalle1!T:T)/SUMIF(detalle1!V:V,221,detalle1!D:D))</f>
        <v>0</v>
      </c>
      <c r="F18" s="39">
        <f>COUNTIF(detalle1!V:V,121)</f>
        <v>17</v>
      </c>
      <c r="G18" s="26">
        <f>SUMIF(detalle1!V:V,121,detalle1!D:D)</f>
        <v>8495.4</v>
      </c>
      <c r="H18" s="27">
        <f>COUNTIF(detalle1!V:V,221)</f>
        <v>0</v>
      </c>
      <c r="I18" s="85">
        <f>SUMIF(detalle1!V:V,221,detalle1!D:D)</f>
        <v>0</v>
      </c>
    </row>
    <row r="19" spans="1:9" ht="12.75" customHeight="1">
      <c r="A19" s="98"/>
      <c r="B19" s="99" t="s">
        <v>2</v>
      </c>
      <c r="C19" s="19" t="s">
        <v>30</v>
      </c>
      <c r="D19" s="66">
        <f>IF(F19+H19=0,0,SUMIF(detalle1!S:S,22,detalle1!T:T)/SUMIF(detalle1!S:S,22,detalle1!D:D))</f>
        <v>0</v>
      </c>
      <c r="E19" s="38">
        <f>IF(H19=0,0,SUMIF(detalle1!V:V,222,detalle1!T:T)/SUMIF(detalle1!V:V,222,detalle1!D:D))</f>
        <v>0</v>
      </c>
      <c r="F19" s="39">
        <f>COUNTIF(detalle1!V:V,122)</f>
        <v>17</v>
      </c>
      <c r="G19" s="26">
        <f>SUMIF(detalle1!V:V,122,detalle1!D:D)</f>
        <v>1911.8200000000004</v>
      </c>
      <c r="H19" s="27">
        <f>COUNTIF(detalle1!V:V,222)</f>
        <v>0</v>
      </c>
      <c r="I19" s="85">
        <f>SUMIF(detalle1!V:V,222,detalle1!D:D)</f>
        <v>0</v>
      </c>
    </row>
    <row r="20" spans="1:9" ht="12.75" customHeight="1">
      <c r="A20" s="98"/>
      <c r="B20" s="99" t="s">
        <v>3</v>
      </c>
      <c r="C20" s="19" t="s">
        <v>31</v>
      </c>
      <c r="D20" s="66">
        <f>IF(F20+H20=0,0,SUMIF(detalle1!S:S,23,detalle1!T:T)/SUMIF(detalle1!S:S,23,detalle1!D:D))</f>
        <v>0</v>
      </c>
      <c r="E20" s="38">
        <f>IF(H20=0,0,SUMIF(detalle1!V:V,223,detalle1!T:T)/SUMIF(detalle1!V:V,223,detalle1!D:D))</f>
        <v>0</v>
      </c>
      <c r="F20" s="39">
        <f>COUNTIF(detalle1!V:V,123)</f>
        <v>0</v>
      </c>
      <c r="G20" s="26">
        <f>SUMIF(detalle1!V:V,123,detalle1!D:D)</f>
        <v>0</v>
      </c>
      <c r="H20" s="27">
        <f>COUNTIF(detalle1!V:V,223)</f>
        <v>0</v>
      </c>
      <c r="I20" s="85">
        <f>SUMIF(detalle1!V:V,223,detalle1!D:D)</f>
        <v>0</v>
      </c>
    </row>
    <row r="21" spans="1:9" ht="12.75" customHeight="1">
      <c r="A21" s="98"/>
      <c r="B21" s="99" t="s">
        <v>4</v>
      </c>
      <c r="C21" s="19" t="s">
        <v>32</v>
      </c>
      <c r="D21" s="66">
        <f>IF(F21+H21=0,0,SUMIF(detalle1!S:S,29,detalle1!T:T)/SUMIF(detalle1!S:S,29,detalle1!D:D))</f>
        <v>0</v>
      </c>
      <c r="E21" s="38">
        <f>IF(H21=0,0,SUMIF(detalle1!V:V,229,detalle1!T:T)/SUMIF(detalle1!V:V,229,detalle1!D:D))</f>
        <v>0</v>
      </c>
      <c r="F21" s="39">
        <f>COUNTIF(detalle1!V:V,129)</f>
        <v>120</v>
      </c>
      <c r="G21" s="26">
        <f>SUMIF(detalle1!V:V,129,detalle1!D:D)</f>
        <v>84199.28</v>
      </c>
      <c r="H21" s="27">
        <f>COUNTIF(detalle1!V:V,229)</f>
        <v>0</v>
      </c>
      <c r="I21" s="85">
        <f>SUMIF(detalle1!V:V,229,detalle1!D:D)</f>
        <v>0</v>
      </c>
    </row>
    <row r="22" spans="1:9" ht="12.75" customHeight="1">
      <c r="A22" s="187" t="s">
        <v>33</v>
      </c>
      <c r="B22" s="188"/>
      <c r="C22" s="188"/>
      <c r="D22" s="64">
        <f aca="true" t="shared" si="0" ref="D22:I22">D23</f>
        <v>0</v>
      </c>
      <c r="E22" s="65">
        <f t="shared" si="0"/>
        <v>0</v>
      </c>
      <c r="F22" s="62">
        <f t="shared" si="0"/>
        <v>2</v>
      </c>
      <c r="G22" s="29">
        <f t="shared" si="0"/>
        <v>685.2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5</v>
      </c>
      <c r="C23" s="101" t="s">
        <v>47</v>
      </c>
      <c r="D23" s="66">
        <f>IF(F23+H23=0,0,SUMIF(detalle1!S:S,69,detalle1!T:T)/SUMIF(detalle1!S:S,69,detalle1!D:D))</f>
        <v>0</v>
      </c>
      <c r="E23" s="38">
        <f>IF(H23=0,0,SUMIF(detalle1!V:V,269,detalle1!T:T)/SUMIF(detalle1!V:V,269,detalle1!D:D))</f>
        <v>0</v>
      </c>
      <c r="F23" s="39">
        <f>COUNTIF(detalle1!V:V,169)</f>
        <v>2</v>
      </c>
      <c r="G23" s="26">
        <f>SUMIF(detalle1!V:V,169,detalle1!D:D)</f>
        <v>685.2</v>
      </c>
      <c r="H23" s="27">
        <f>COUNTIF(detalle1!V:V,269)</f>
        <v>0</v>
      </c>
      <c r="I23" s="85">
        <f>SUMIF(detalle1!V:V,269,detalle1!D:D)</f>
        <v>0</v>
      </c>
    </row>
    <row r="24" spans="1:9" ht="12.75" customHeight="1">
      <c r="A24" s="187" t="s">
        <v>34</v>
      </c>
      <c r="B24" s="188"/>
      <c r="C24" s="188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89" t="s">
        <v>35</v>
      </c>
      <c r="C25" s="189"/>
      <c r="D25" s="106"/>
      <c r="E25" s="107"/>
      <c r="F25" s="108"/>
      <c r="G25" s="109"/>
      <c r="H25" s="110"/>
      <c r="I25" s="111"/>
    </row>
    <row r="26" spans="1:9" ht="12.75" customHeight="1" thickBot="1">
      <c r="A26" s="190" t="s">
        <v>20</v>
      </c>
      <c r="B26" s="191"/>
      <c r="C26" s="191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159</v>
      </c>
      <c r="G26" s="78">
        <f>G16+G22+G24</f>
        <v>95945.09999999999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7</v>
      </c>
      <c r="C27" s="2" t="s">
        <v>36</v>
      </c>
      <c r="D27" s="72">
        <f>IF(SUM(detalle1!D:D)=0,0,SUM(detalle1!T:T)/SUM(detalle1!D:D))-IF((G16+I16+G22+I22)=0,0,(D16*(G16+I16)+D22*(G22+I22))/(G16+I16+G22+I22))</f>
        <v>0</v>
      </c>
      <c r="E27" s="72">
        <f>IF(SUMIF(detalle1!V:V,"&gt;199",detalle1!D:D)=0,0,SUMIF(detalle1!V:V,"&gt;199",detalle1!T:T)/SUMIF(detalle1!V:V,"&gt;199",detalle1!D:D))-IF(I16+I22=0,0,(E16*I16+E22*I22)/(I16+I22))</f>
        <v>0</v>
      </c>
      <c r="F27" s="72"/>
      <c r="G27" s="72"/>
      <c r="H27" s="72">
        <f>COUNTIF(detalle1!P:P,"&gt;30")-H26+H25</f>
        <v>0</v>
      </c>
      <c r="I27" s="72">
        <f>SUMIF(detalle1!P:P,"&gt;30",detalle1!D:D)-I26+I25</f>
        <v>0</v>
      </c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37</v>
      </c>
    </row>
    <row r="31" spans="1:7" ht="12.75" customHeight="1">
      <c r="A31" s="171" t="s">
        <v>38</v>
      </c>
      <c r="B31" s="172"/>
      <c r="C31" s="192"/>
      <c r="D31" s="194" t="s">
        <v>43</v>
      </c>
      <c r="E31" s="195"/>
      <c r="F31" s="195"/>
      <c r="G31" s="196"/>
    </row>
    <row r="32" spans="1:7" ht="12.75" customHeight="1">
      <c r="A32" s="174"/>
      <c r="B32" s="175"/>
      <c r="C32" s="193"/>
      <c r="D32" s="60" t="s">
        <v>44</v>
      </c>
      <c r="E32" s="22" t="s">
        <v>6</v>
      </c>
      <c r="F32" s="22" t="s">
        <v>26</v>
      </c>
      <c r="G32" s="74" t="s">
        <v>6</v>
      </c>
    </row>
    <row r="33" spans="1:7" ht="12.75" customHeight="1">
      <c r="A33" s="98"/>
      <c r="B33" s="197" t="s">
        <v>39</v>
      </c>
      <c r="C33" s="198"/>
      <c r="D33" s="70">
        <f>COUNTIF(detalle1!P:P,"&lt;=30")+F25</f>
        <v>159</v>
      </c>
      <c r="E33" s="32">
        <f>IF($D$38=0,0,D33*100/$D$38)</f>
        <v>100</v>
      </c>
      <c r="F33" s="32">
        <f>SUMIF(detalle1!P:P,"&lt;=30",detalle1!D:D)+G25</f>
        <v>95945.09999999995</v>
      </c>
      <c r="G33" s="112">
        <f>IF($F$38=0,0,F33*100/$F$38)</f>
        <v>100</v>
      </c>
    </row>
    <row r="34" spans="1:7" ht="12.75" customHeight="1">
      <c r="A34" s="98"/>
      <c r="B34" s="199" t="s">
        <v>40</v>
      </c>
      <c r="C34" s="200"/>
      <c r="D34" s="71">
        <f>COUNTIF(detalle1!P:P,"&lt;=40")-D33+F25+IF(AND(E25&gt;30,E25&lt;=40),H25)</f>
        <v>0</v>
      </c>
      <c r="E34" s="26">
        <f>IF($D$38=0,0,D34*100/$D$38)</f>
        <v>0</v>
      </c>
      <c r="F34" s="26">
        <f>SUMIF(detalle1!P:P,"&lt;=40",detalle1!D:D)-F33+G25+IF(AND(E25&gt;30,E25&lt;=40),I25)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41</v>
      </c>
      <c r="C35" s="103"/>
      <c r="D35" s="71">
        <f>COUNTIF(detalle1!P:P,"&lt;=50")-SUM(D33:D34)+F25+IF(E25&lt;=50,H25)</f>
        <v>0</v>
      </c>
      <c r="E35" s="26">
        <f>IF($D$38=0,0,D35*100/$D$38)</f>
        <v>0</v>
      </c>
      <c r="F35" s="26">
        <f>SUMIF(detalle1!P:P,"&lt;=50",detalle1!D:D)-SUM(F33:F34)+G25+IF(E25&lt;=50,I25)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97" t="s">
        <v>40</v>
      </c>
      <c r="C36" s="198"/>
      <c r="D36" s="71">
        <f>COUNTIF(detalle1!P:P,"&lt;=60")-SUM(D33:D35)+F25+IF(E25&lt;=60,H25)</f>
        <v>0</v>
      </c>
      <c r="E36" s="26">
        <f>IF($D$38=0,0,D36*100/$D$38)</f>
        <v>0</v>
      </c>
      <c r="F36" s="26">
        <f>SUMIF(detalle1!P:P,"&lt;=60",detalle1!D:D)-SUM(F33:F35)+G25+IF(E25&lt;=60,I25)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89" t="s">
        <v>42</v>
      </c>
      <c r="C37" s="201"/>
      <c r="D37" s="94">
        <f>COUNTIF(detalle1!P:P,"&gt;60")+IF(E25&gt;60,H25)</f>
        <v>0</v>
      </c>
      <c r="E37" s="26">
        <f>IF($D$38=0,0,D37*100/$D$38)</f>
        <v>0</v>
      </c>
      <c r="F37" s="30">
        <f>SUMIF(detalle1!P:P,"&gt;60",detalle1!D:D)+IF(E25&gt;60,I25)</f>
        <v>0</v>
      </c>
      <c r="G37" s="85">
        <f>IF($F$38=0,0,F37*100/$F$38)</f>
        <v>0</v>
      </c>
    </row>
    <row r="38" spans="1:7" ht="12.75" customHeight="1" thickBot="1">
      <c r="A38" s="202" t="s">
        <v>20</v>
      </c>
      <c r="B38" s="203"/>
      <c r="C38" s="204"/>
      <c r="D38" s="80">
        <f>SUM(D33:D37)</f>
        <v>159</v>
      </c>
      <c r="E38" s="81">
        <f>SUM(E33:E37)</f>
        <v>100</v>
      </c>
      <c r="F38" s="81">
        <f>SUM(F33:F37)</f>
        <v>95945.09999999995</v>
      </c>
      <c r="G38" s="82">
        <f>SUM(G33:G37)</f>
        <v>100</v>
      </c>
    </row>
    <row r="39" spans="1:6" ht="12.75" customHeight="1">
      <c r="A39" s="33"/>
      <c r="B39" s="33"/>
      <c r="C39" s="33"/>
      <c r="D39" s="72"/>
      <c r="E39" s="72"/>
      <c r="F39" s="72"/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45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71" t="s">
        <v>46</v>
      </c>
      <c r="B45" s="172"/>
      <c r="C45" s="173"/>
      <c r="D45" s="177" t="s">
        <v>18</v>
      </c>
      <c r="E45" s="178"/>
      <c r="F45" s="179" t="s">
        <v>49</v>
      </c>
      <c r="G45" s="180"/>
      <c r="H45" s="180"/>
      <c r="I45" s="181"/>
    </row>
    <row r="46" spans="1:9" ht="12.75" customHeight="1">
      <c r="A46" s="174"/>
      <c r="B46" s="175"/>
      <c r="C46" s="176"/>
      <c r="D46" s="182" t="s">
        <v>19</v>
      </c>
      <c r="E46" s="183"/>
      <c r="F46" s="184" t="s">
        <v>23</v>
      </c>
      <c r="G46" s="185"/>
      <c r="H46" s="185" t="s">
        <v>24</v>
      </c>
      <c r="I46" s="186"/>
    </row>
    <row r="47" spans="1:9" ht="22.5">
      <c r="A47" s="174"/>
      <c r="B47" s="175"/>
      <c r="C47" s="176"/>
      <c r="D47" s="63" t="s">
        <v>20</v>
      </c>
      <c r="E47" s="23" t="s">
        <v>21</v>
      </c>
      <c r="F47" s="60" t="s">
        <v>50</v>
      </c>
      <c r="G47" s="22" t="s">
        <v>26</v>
      </c>
      <c r="H47" s="22" t="str">
        <f>+F47</f>
        <v>Número de operaciones</v>
      </c>
      <c r="I47" s="74" t="str">
        <f>+G47</f>
        <v>Importe total</v>
      </c>
    </row>
    <row r="48" spans="1:9" ht="12.75" customHeight="1">
      <c r="A48" s="208" t="s">
        <v>27</v>
      </c>
      <c r="B48" s="209"/>
      <c r="C48" s="210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tr">
        <f>+C17</f>
        <v>Arrendamientos y cánones</v>
      </c>
      <c r="D49" s="66">
        <f>IF(F49+H49=0,0,SUMIF(detalle2!S:S,20,detalle2!T:T)/SUMIF(detalle2!S:S,20,detalle2!D:D))</f>
        <v>0</v>
      </c>
      <c r="E49" s="38">
        <f>IF(H49=0,0,SUMIF(detalle2!V:V,220,detalle2!T:T)/SUMIF(detalle2!V:V,220,detalle2!D:D))</f>
        <v>0</v>
      </c>
      <c r="F49" s="39">
        <f>COUNTIF(detalle2!V:V,120)</f>
        <v>0</v>
      </c>
      <c r="G49" s="26">
        <f>SUMIF(detalle2!V:V,120,detalle2!D:D)</f>
        <v>0</v>
      </c>
      <c r="H49" s="27">
        <f>COUNTIF(detalle2!V:V,220)</f>
        <v>0</v>
      </c>
      <c r="I49" s="85">
        <f>SUMIF(detalle2!V:V,220,detalle2!D:D)</f>
        <v>0</v>
      </c>
    </row>
    <row r="50" spans="1:9" ht="12.75" customHeight="1">
      <c r="A50" s="98"/>
      <c r="B50" s="99" t="s">
        <v>1</v>
      </c>
      <c r="C50" s="19" t="str">
        <f>+C18</f>
        <v>Reparaciones, mantenimiento y conservación</v>
      </c>
      <c r="D50" s="66">
        <f>IF(F50+H50=0,0,SUMIF(detalle2!S:S,21,detalle2!T:T)/SUMIF(detalle2!S:S,21,detalle2!D:D))</f>
        <v>0</v>
      </c>
      <c r="E50" s="38">
        <f>IF(H50=0,0,SUMIF(detalle2!V:V,221,detalle2!T:T)/SUMIF(detalle2!V:V,221,detalle2!D:D))</f>
        <v>0</v>
      </c>
      <c r="F50" s="39">
        <f>COUNTIF(detalle2!V:V,121)</f>
        <v>0</v>
      </c>
      <c r="G50" s="26">
        <f>SUMIF(detalle2!V:V,121,detalle2!D:D)</f>
        <v>0</v>
      </c>
      <c r="H50" s="27">
        <f>COUNTIF(detalle2!V:V,221)</f>
        <v>0</v>
      </c>
      <c r="I50" s="85">
        <f>SUMIF(detalle2!V:V,221,detalle2!D:D)</f>
        <v>0</v>
      </c>
    </row>
    <row r="51" spans="1:9" ht="12.75" customHeight="1">
      <c r="A51" s="98"/>
      <c r="B51" s="99" t="s">
        <v>2</v>
      </c>
      <c r="C51" s="19" t="str">
        <f>+C19</f>
        <v>Material, suministros y otros</v>
      </c>
      <c r="D51" s="66">
        <f>IF(F51+H51=0,0,SUMIF(detalle2!S:S,22,detalle2!T:T)/SUMIF(detalle2!S:S,22,detalle2!D:D))</f>
        <v>0</v>
      </c>
      <c r="E51" s="38">
        <f>IF(H51=0,0,SUMIF(detalle2!V:V,222,detalle2!T:T)/SUMIF(detalle2!V:V,222,detalle2!D:D))</f>
        <v>0</v>
      </c>
      <c r="F51" s="39">
        <f>COUNTIF(detalle2!V:V,122)</f>
        <v>0</v>
      </c>
      <c r="G51" s="26">
        <f>SUMIF(detalle2!V:V,122,detalle2!D:D)</f>
        <v>0</v>
      </c>
      <c r="H51" s="27">
        <f>COUNTIF(detalle2!V:V,222)</f>
        <v>0</v>
      </c>
      <c r="I51" s="85">
        <f>SUMIF(detalle2!V:V,222,detalle2!D:D)</f>
        <v>0</v>
      </c>
    </row>
    <row r="52" spans="1:9" ht="12.75" customHeight="1">
      <c r="A52" s="98"/>
      <c r="B52" s="99" t="s">
        <v>3</v>
      </c>
      <c r="C52" s="19" t="str">
        <f>+C20</f>
        <v>Indemnizaciones por razón del servicio</v>
      </c>
      <c r="D52" s="66">
        <f>IF(F52+H52=0,0,SUMIF(detalle2!S:S,23,detalle2!T:T)/SUMIF(detalle2!S:S,23,detalle2!D:D))</f>
        <v>0</v>
      </c>
      <c r="E52" s="38">
        <f>IF(H52=0,0,SUMIF(detalle2!V:V,223,detalle2!T:T)/SUMIF(detalle2!V:V,223,detalle2!D:D))</f>
        <v>0</v>
      </c>
      <c r="F52" s="39">
        <f>COUNTIF(detalle2!V:V,123)</f>
        <v>0</v>
      </c>
      <c r="G52" s="26">
        <f>SUMIF(detalle2!V:V,123,detalle2!D:D)</f>
        <v>0</v>
      </c>
      <c r="H52" s="27">
        <f>COUNTIF(detalle2!V:V,223)</f>
        <v>0</v>
      </c>
      <c r="I52" s="85">
        <f>SUMIF(detalle2!V:V,223,detalle2!D:D)</f>
        <v>0</v>
      </c>
    </row>
    <row r="53" spans="1:9" ht="12.75" customHeight="1">
      <c r="A53" s="98"/>
      <c r="B53" s="99" t="s">
        <v>12</v>
      </c>
      <c r="C53" s="19" t="str">
        <f>+C21</f>
        <v>Otros</v>
      </c>
      <c r="D53" s="66">
        <f>IF(F53+H53=0,0,SUMIF(detalle2!S:S,29,detalle2!T:T)/SUMIF(detalle2!S:S,29,detalle2!D:D))</f>
        <v>0</v>
      </c>
      <c r="E53" s="38">
        <f>IF(H53=0,0,SUMIF(detalle2!V:V,229,detalle2!T:T)/SUMIF(detalle2!V:V,229,detalle2!D:D))</f>
        <v>0</v>
      </c>
      <c r="F53" s="39">
        <f>COUNTIF(detalle2!V:V,129)</f>
        <v>0</v>
      </c>
      <c r="G53" s="26">
        <f>SUMIF(detalle2!V:V,129,detalle2!D:D)</f>
        <v>0</v>
      </c>
      <c r="H53" s="27">
        <f>COUNTIF(detalle2!V:V,229)</f>
        <v>0</v>
      </c>
      <c r="I53" s="85">
        <f>SUMIF(detalle2!V:V,229,detalle2!D:D)</f>
        <v>0</v>
      </c>
    </row>
    <row r="54" spans="1:9" ht="12.75" customHeight="1">
      <c r="A54" s="187" t="s">
        <v>47</v>
      </c>
      <c r="B54" s="188"/>
      <c r="C54" s="188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tr">
        <f>+C23</f>
        <v>Inversiones reales</v>
      </c>
      <c r="D55" s="66">
        <f>IF(F55+H55=0,0,SUMIF(detalle2!S:S,69,detalle2!T:T)/SUMIF(detalle2!S:S,69,detalle2!D:D))</f>
        <v>0</v>
      </c>
      <c r="E55" s="38">
        <f>IF(H55=0,0,SUMIF(detalle2!V:V,269,detalle2!T:T)/SUMIF(detalle2!V:V,269,detalle2!D:D))</f>
        <v>0</v>
      </c>
      <c r="F55" s="39">
        <f>COUNTIF(detalle2!V:V,169)</f>
        <v>0</v>
      </c>
      <c r="G55" s="26">
        <f>SUMIF(detalle2!V:V,169,detalle2!D:D)</f>
        <v>0</v>
      </c>
      <c r="H55" s="27">
        <f>COUNTIF(detalle2!V:V,269)</f>
        <v>0</v>
      </c>
      <c r="I55" s="85">
        <f>SUMIF(detalle2!V:V,269,detalle2!D:D)</f>
        <v>0</v>
      </c>
    </row>
    <row r="56" spans="1:9" ht="12.75" customHeight="1">
      <c r="A56" s="211" t="str">
        <f>+A24</f>
        <v>Pagos pendientes de aplicar al presupuesto*</v>
      </c>
      <c r="B56" s="212"/>
      <c r="C56" s="213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14" t="str">
        <f>+B25</f>
        <v>Pagos pendientes de aplicar al presupuesto</v>
      </c>
      <c r="C57" s="215"/>
      <c r="D57" s="106"/>
      <c r="E57" s="107"/>
      <c r="F57" s="108"/>
      <c r="G57" s="109"/>
      <c r="H57" s="110"/>
      <c r="I57" s="111"/>
    </row>
    <row r="58" spans="1:9" ht="12.75" customHeight="1" thickBot="1">
      <c r="A58" s="205" t="str">
        <f>+A26</f>
        <v>Total</v>
      </c>
      <c r="B58" s="206"/>
      <c r="C58" s="207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48</v>
      </c>
      <c r="D59" s="72">
        <f>IF(SUM(detalle2!D:D)=0,0,SUM(detalle2!T:T)/SUM(detalle2!D:D))-IF((G48+I48+G54+I54)=0,0,(D48*(G48+I48)+D54*(G54+I54))/(G48+I48+G54+I54))</f>
        <v>0</v>
      </c>
      <c r="E59" s="72">
        <f>IF(SUMIF(detalle2!V:V,"&gt;199",detalle2!D:D)=0,0,SUMIF(detalle2!V:V,"&gt;199",detalle2!T:T)/SUMIF(detalle2!V:V,"&gt;199",detalle2!D:D))-IF(I48+I54=0,0,(E48*I48+E54*I54)/(I48+I54))</f>
        <v>0</v>
      </c>
      <c r="F59" s="72">
        <f>COUNTIF(detalle2!P:P,"&lt;=30")-F58+F57</f>
        <v>0</v>
      </c>
      <c r="G59" s="72">
        <f>SUMIF(detalle2!P:P,"&lt;=30",detalle2!D:D)-G58+G57</f>
        <v>0</v>
      </c>
      <c r="H59" s="72">
        <f>COUNTIF(detalle2!P:P,"&gt;30")-H58+H57</f>
        <v>0</v>
      </c>
      <c r="I59" s="72">
        <f>SUMIF(detalle2!P:P,"&gt;30",detalle2!D:D)-I58+I57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51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52</v>
      </c>
    </row>
    <row r="67" spans="1:7" ht="33.75">
      <c r="A67" s="171" t="s">
        <v>53</v>
      </c>
      <c r="B67" s="172"/>
      <c r="C67" s="192"/>
      <c r="D67" s="83" t="s">
        <v>54</v>
      </c>
      <c r="E67" s="73" t="s">
        <v>55</v>
      </c>
      <c r="F67" s="84" t="s">
        <v>26</v>
      </c>
      <c r="G67" s="36"/>
    </row>
    <row r="68" spans="1:6" ht="12.75" customHeight="1">
      <c r="A68" s="105"/>
      <c r="B68" s="229" t="s">
        <v>99</v>
      </c>
      <c r="C68" s="230"/>
      <c r="D68" s="67">
        <f>IF(E68=0,0,SUMIF(detalle32!T:T,22,detalle32!R:R)/SUMIF(detalle32!T:T,22,detalle32!D:D))</f>
        <v>0</v>
      </c>
      <c r="E68" s="37">
        <f>COUNTIF(detalle32!T:T,22)</f>
        <v>0</v>
      </c>
      <c r="F68" s="85">
        <f>SUMIF(detalle32!T:T,22,detalle32!D:D)</f>
        <v>0</v>
      </c>
    </row>
    <row r="69" spans="1:6" ht="12.75" customHeight="1">
      <c r="A69" s="98"/>
      <c r="B69" s="199" t="s">
        <v>47</v>
      </c>
      <c r="C69" s="200"/>
      <c r="D69" s="67">
        <f>IF(E69=0,0,SUMIF(detalle32!T:T,26,detalle32!R:R)/SUMIF(detalle32!T:T,26,detalle32!D:D))</f>
        <v>0</v>
      </c>
      <c r="E69" s="37">
        <f>COUNTIF(detalle32!T:T,26)</f>
        <v>0</v>
      </c>
      <c r="F69" s="85">
        <f>SUMIF(detalle32!T:T,26,detalle32!D:D)</f>
        <v>0</v>
      </c>
    </row>
    <row r="70" spans="1:6" ht="12.75" customHeight="1">
      <c r="A70" s="104"/>
      <c r="B70" s="189" t="s">
        <v>100</v>
      </c>
      <c r="C70" s="201"/>
      <c r="D70" s="67">
        <f>IF(E70=0,0,SUMIF(detalle32!T:T,29,detalle32!R:R)/SUMIF(detalle32!T:T,29,detalle32!D:D))</f>
        <v>0</v>
      </c>
      <c r="E70" s="37">
        <f>COUNTIF(detalle32!T:T,29)</f>
        <v>0</v>
      </c>
      <c r="F70" s="85">
        <f>SUMIF(detalle32!T:T,29,detalle32!D:D)</f>
        <v>0</v>
      </c>
    </row>
    <row r="71" spans="1:6" ht="12.75" customHeight="1" thickBot="1">
      <c r="A71" s="236" t="s">
        <v>20</v>
      </c>
      <c r="B71" s="237"/>
      <c r="C71" s="238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IF(D73=0,0,(SUMIF(detalle32!O:O,"&gt;90",detalle32!R:R)/SUMIF(detalle32!O:O,"&gt;90",detalle32!D:D)))-IF(D71="",0,D71)</f>
        <v>0</v>
      </c>
      <c r="E72" s="72">
        <f>COUNTIF(detalle32!O:O,"&gt;90")-E71</f>
        <v>0</v>
      </c>
      <c r="F72" s="72">
        <f>SUMIF(detalle32!O:O,"&gt;90",detalle32!D:D)-F71</f>
        <v>0</v>
      </c>
    </row>
    <row r="73" spans="4:6" ht="12.75" customHeight="1">
      <c r="D73" s="113">
        <f>SUMIF(detalle32!O:O,"&gt;90",detalle32!D:D)</f>
        <v>0</v>
      </c>
      <c r="E73" s="34"/>
      <c r="F73" s="34"/>
    </row>
    <row r="74" s="18" customFormat="1" ht="13.5" thickBot="1">
      <c r="A74" s="1" t="s">
        <v>56</v>
      </c>
    </row>
    <row r="75" spans="1:7" ht="12.75" customHeight="1">
      <c r="A75" s="171" t="s">
        <v>57</v>
      </c>
      <c r="B75" s="172"/>
      <c r="C75" s="192"/>
      <c r="D75" s="194" t="s">
        <v>58</v>
      </c>
      <c r="E75" s="195"/>
      <c r="F75" s="195"/>
      <c r="G75" s="196"/>
    </row>
    <row r="76" spans="1:7" ht="12.75" customHeight="1">
      <c r="A76" s="174"/>
      <c r="B76" s="175"/>
      <c r="C76" s="193"/>
      <c r="D76" s="60" t="s">
        <v>44</v>
      </c>
      <c r="E76" s="22" t="s">
        <v>6</v>
      </c>
      <c r="F76" s="22" t="s">
        <v>26</v>
      </c>
      <c r="G76" s="74" t="s">
        <v>6</v>
      </c>
    </row>
    <row r="77" spans="1:7" ht="12.75" customHeight="1">
      <c r="A77" s="105"/>
      <c r="B77" s="229" t="s">
        <v>39</v>
      </c>
      <c r="C77" s="230"/>
      <c r="D77" s="39">
        <f>COUNTIF(detalle32!O:O,"&lt;=30")</f>
        <v>11</v>
      </c>
      <c r="E77" s="40">
        <f>IF($D$81=0,0,D77*100/$D$81)</f>
        <v>100</v>
      </c>
      <c r="F77" s="26">
        <f>SUMIF(detalle32!O:O,"&lt;=30",detalle32!D:D)</f>
        <v>7859.070000000001</v>
      </c>
      <c r="G77" s="88">
        <f>IF($F$81=0,0,F77*100/$F$81)</f>
        <v>100</v>
      </c>
    </row>
    <row r="78" spans="1:7" ht="12.75" customHeight="1">
      <c r="A78" s="98"/>
      <c r="B78" s="199" t="s">
        <v>101</v>
      </c>
      <c r="C78" s="200"/>
      <c r="D78" s="39">
        <f>COUNTIF(detalle32!O:O,"&lt;=60")-D77</f>
        <v>0</v>
      </c>
      <c r="E78" s="40">
        <f>IF($D$81=0,0,D78*100/$D$81)</f>
        <v>0</v>
      </c>
      <c r="F78" s="26">
        <f>SUMIF(detalle32!O:O,"&lt;=60",detalle32!D:D)-F77</f>
        <v>0</v>
      </c>
      <c r="G78" s="88">
        <f>IF($F$81=0,0,F78*100/$F$81)</f>
        <v>0</v>
      </c>
    </row>
    <row r="79" spans="1:7" ht="12.75" customHeight="1">
      <c r="A79" s="98"/>
      <c r="B79" s="197" t="s">
        <v>102</v>
      </c>
      <c r="C79" s="198"/>
      <c r="D79" s="39">
        <f>COUNTIF(detalle32!O:O,"&lt;=90")-SUM(D77:D78)</f>
        <v>0</v>
      </c>
      <c r="E79" s="40">
        <f>IF($D$81=0,0,D79*100/$D$81)</f>
        <v>0</v>
      </c>
      <c r="F79" s="26">
        <f>SUMIF(detalle32!O:O,"&lt;=90",detalle32!D:D)-SUM(F77:F78)</f>
        <v>0</v>
      </c>
      <c r="G79" s="88">
        <f>IF($F$81=0,0,F79*100/$F$81)</f>
        <v>0</v>
      </c>
    </row>
    <row r="80" spans="1:7" ht="12.75" customHeight="1">
      <c r="A80" s="98"/>
      <c r="B80" s="197" t="s">
        <v>103</v>
      </c>
      <c r="C80" s="198"/>
      <c r="D80" s="39">
        <f>COUNTIF(detalle32!O:O,"&gt;90")</f>
        <v>0</v>
      </c>
      <c r="E80" s="40">
        <f>IF($D$81=0,0,D80*100/$D$81)</f>
        <v>0</v>
      </c>
      <c r="F80" s="26">
        <f>SUMIF(detalle32!O:O,"&gt;90",detalle32!D:D)</f>
        <v>0</v>
      </c>
      <c r="G80" s="88">
        <f>IF($F$81=0,0,F80*100/$F$81)</f>
        <v>0</v>
      </c>
    </row>
    <row r="81" spans="1:7" ht="12.75" customHeight="1" thickBot="1">
      <c r="A81" s="218" t="s">
        <v>20</v>
      </c>
      <c r="B81" s="219"/>
      <c r="C81" s="220"/>
      <c r="D81" s="77">
        <f>SUM(D77:D80)</f>
        <v>11</v>
      </c>
      <c r="E81" s="89">
        <f>SUM(E77:E80)</f>
        <v>100</v>
      </c>
      <c r="F81" s="78">
        <f>SUM(F77:F80)</f>
        <v>7859.070000000001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COUNT(detalle32!D:D)-D81</f>
        <v>31</v>
      </c>
      <c r="E82" s="72"/>
      <c r="F82" s="72">
        <f>SUM(detalle32!D:D)-F81</f>
        <v>22150.039999999997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59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221" t="s">
        <v>60</v>
      </c>
      <c r="B88" s="222"/>
      <c r="C88" s="223"/>
      <c r="D88" s="227" t="s">
        <v>61</v>
      </c>
      <c r="E88" s="228"/>
      <c r="F88" s="227" t="s">
        <v>64</v>
      </c>
      <c r="G88" s="228"/>
      <c r="H88" s="231" t="s">
        <v>65</v>
      </c>
    </row>
    <row r="89" spans="1:8" ht="12.75" customHeight="1">
      <c r="A89" s="224"/>
      <c r="B89" s="225"/>
      <c r="C89" s="226"/>
      <c r="D89" s="68" t="s">
        <v>62</v>
      </c>
      <c r="E89" s="69" t="s">
        <v>63</v>
      </c>
      <c r="F89" s="68" t="str">
        <f>+D89</f>
        <v>Ratio</v>
      </c>
      <c r="G89" s="69" t="str">
        <f>+E89</f>
        <v>Importe</v>
      </c>
      <c r="H89" s="232"/>
    </row>
    <row r="90" spans="1:8" ht="12.75" customHeight="1" thickBot="1">
      <c r="A90" s="233" t="str">
        <f>D3</f>
        <v>OARSOALDEA</v>
      </c>
      <c r="B90" s="234"/>
      <c r="C90" s="235"/>
      <c r="D90" s="91">
        <f>IF((SUM(detalle1!D:D)+G24+I24)=0,0,(SUM(detalle1!U:U)+D24*(G24+I24))/(SUM(detalle1!D:D)+G24+I24))</f>
        <v>-23.63107391622919</v>
      </c>
      <c r="E90" s="92">
        <f>SUM(detalle1!D:D)+G24+I24</f>
        <v>95945.09999999995</v>
      </c>
      <c r="F90" s="91">
        <f>IF((SUM(detalle2!D:D)+SUM(detalle32!D:D)+G56+I56)=0,0,(SUM(detalle2!U:U)+SUM(detalle32!R:R)+D56*(G56+I56))/(SUM(detalle2!D:D)+SUM(detalle32!D:D)+G56+I56))</f>
        <v>-7.094979824459973</v>
      </c>
      <c r="G90" s="92">
        <f>SUM(detalle2!D:D)+SUM(detalle32!D:D)+G56+I56</f>
        <v>30009.109999999997</v>
      </c>
      <c r="H90" s="93">
        <f>IF(E90=0,F90,IF(G90=0,D90,(D90*E90+F90*G90)/(E90+G90)))</f>
        <v>-19.691281299767596</v>
      </c>
    </row>
    <row r="91" spans="4:8" ht="12.75" customHeight="1">
      <c r="D91" s="31"/>
      <c r="E91" s="72"/>
      <c r="F91" s="72"/>
      <c r="G91" s="72">
        <f>G90-G58-I58-F81</f>
        <v>22150.039999999997</v>
      </c>
      <c r="H91" s="72">
        <f>IF(H92=0,0,(SUM(detalle1!U:U)+SUM(detalle2!U:U)+SUM(detalle32!S:S)+D24*(G24+I24)+D56*(G56+I56))/(SUM(detalle1!D:D)+SUM(detalle2!D:D)+SUM(detalle32!D:D)+G24+I24+G56+I56))-IF(H90="",0,H90)</f>
        <v>1.6904082046959736</v>
      </c>
    </row>
    <row r="92" spans="1:8" ht="12.75" customHeight="1" thickBot="1">
      <c r="A92" s="4" t="s">
        <v>66</v>
      </c>
      <c r="E92" s="34"/>
      <c r="F92" s="34"/>
      <c r="G92" s="34"/>
      <c r="H92" s="114">
        <f>(SUM(detalle1!D:D)+SUM(detalle2!D:D)+SUM(detalle32!D:D)+G24+I24+G56+I56)</f>
        <v>125954.20999999995</v>
      </c>
    </row>
    <row r="93" spans="2:8" ht="43.5" customHeight="1" thickBot="1">
      <c r="B93" s="216"/>
      <c r="C93" s="217"/>
      <c r="E93" s="34"/>
      <c r="F93" s="34"/>
      <c r="G93" s="34"/>
      <c r="H93" s="34"/>
    </row>
  </sheetData>
  <sheetProtection/>
  <mergeCells count="50">
    <mergeCell ref="H88:H89"/>
    <mergeCell ref="A90:C90"/>
    <mergeCell ref="D88:E88"/>
    <mergeCell ref="B68:C68"/>
    <mergeCell ref="B69:C69"/>
    <mergeCell ref="B70:C70"/>
    <mergeCell ref="A71:C71"/>
    <mergeCell ref="B93:C93"/>
    <mergeCell ref="A81:C81"/>
    <mergeCell ref="A88:C89"/>
    <mergeCell ref="A75:C76"/>
    <mergeCell ref="D75:G75"/>
    <mergeCell ref="F88:G88"/>
    <mergeCell ref="B77:C77"/>
    <mergeCell ref="B78:C78"/>
    <mergeCell ref="B79:C79"/>
    <mergeCell ref="B80:C80"/>
    <mergeCell ref="A58:C58"/>
    <mergeCell ref="A67:C67"/>
    <mergeCell ref="A45:C47"/>
    <mergeCell ref="D45:E45"/>
    <mergeCell ref="A48:C48"/>
    <mergeCell ref="A54:C54"/>
    <mergeCell ref="A56:C56"/>
    <mergeCell ref="B57:C57"/>
    <mergeCell ref="D31:G31"/>
    <mergeCell ref="B33:C33"/>
    <mergeCell ref="B34:C34"/>
    <mergeCell ref="B36:C36"/>
    <mergeCell ref="F45:I45"/>
    <mergeCell ref="D46:E46"/>
    <mergeCell ref="F46:G46"/>
    <mergeCell ref="H46:I46"/>
    <mergeCell ref="B37:C37"/>
    <mergeCell ref="A38:C38"/>
    <mergeCell ref="A16:C16"/>
    <mergeCell ref="A22:C22"/>
    <mergeCell ref="A24:C24"/>
    <mergeCell ref="B25:C25"/>
    <mergeCell ref="A26:C26"/>
    <mergeCell ref="A31:C32"/>
    <mergeCell ref="A1:B1"/>
    <mergeCell ref="A2:I2"/>
    <mergeCell ref="D3:G3"/>
    <mergeCell ref="A13:C15"/>
    <mergeCell ref="D13:E13"/>
    <mergeCell ref="F13:I13"/>
    <mergeCell ref="D14:E14"/>
    <mergeCell ref="F14:G14"/>
    <mergeCell ref="H14:I14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64"/>
  <sheetViews>
    <sheetView zoomScalePageLayoutView="0" workbookViewId="0" topLeftCell="O1">
      <selection activeCell="A6" sqref="A6:IV164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5.28125" style="128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5" width="8.57421875" style="136" bestFit="1" customWidth="1"/>
    <col min="16" max="17" width="8.57421875" style="136" customWidth="1"/>
    <col min="18" max="18" width="6.7109375" style="9" customWidth="1"/>
    <col min="19" max="19" width="8.421875" style="2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90</v>
      </c>
      <c r="G2" s="131"/>
    </row>
    <row r="3" spans="1:19" ht="11.25">
      <c r="A3" s="3" t="s">
        <v>91</v>
      </c>
      <c r="B3" s="16"/>
      <c r="C3" s="129"/>
      <c r="D3" s="127" t="s">
        <v>92</v>
      </c>
      <c r="E3" s="4"/>
      <c r="F3" s="4"/>
      <c r="G3" s="4"/>
      <c r="H3" s="4"/>
      <c r="I3" s="4"/>
      <c r="J3" s="4"/>
      <c r="R3" s="9" t="s">
        <v>93</v>
      </c>
      <c r="S3" s="137">
        <v>42643</v>
      </c>
    </row>
    <row r="4" spans="13:14" ht="11.25">
      <c r="M4" s="14" t="s">
        <v>94</v>
      </c>
      <c r="N4" s="14" t="s">
        <v>95</v>
      </c>
    </row>
    <row r="5" spans="1:22" ht="22.5">
      <c r="A5" s="5" t="s">
        <v>104</v>
      </c>
      <c r="B5" s="17" t="s">
        <v>106</v>
      </c>
      <c r="C5" s="130" t="s">
        <v>70</v>
      </c>
      <c r="D5" s="116" t="s">
        <v>63</v>
      </c>
      <c r="E5" s="5" t="s">
        <v>107</v>
      </c>
      <c r="F5" s="125" t="s">
        <v>71</v>
      </c>
      <c r="G5" s="125" t="s">
        <v>72</v>
      </c>
      <c r="H5" s="6" t="s">
        <v>9</v>
      </c>
      <c r="I5" s="6" t="s">
        <v>10</v>
      </c>
      <c r="J5" s="6" t="s">
        <v>8</v>
      </c>
      <c r="K5" s="117" t="s">
        <v>108</v>
      </c>
      <c r="L5" s="15" t="s">
        <v>109</v>
      </c>
      <c r="M5" s="117" t="s">
        <v>73</v>
      </c>
      <c r="N5" s="117" t="s">
        <v>74</v>
      </c>
      <c r="O5" s="10" t="s">
        <v>110</v>
      </c>
      <c r="P5" s="11" t="s">
        <v>111</v>
      </c>
      <c r="Q5" s="12" t="s">
        <v>112</v>
      </c>
      <c r="R5" s="13" t="s">
        <v>65</v>
      </c>
      <c r="S5" s="132" t="s">
        <v>75</v>
      </c>
      <c r="T5" s="8" t="s">
        <v>76</v>
      </c>
      <c r="U5" s="8" t="s">
        <v>77</v>
      </c>
      <c r="V5" s="134" t="s">
        <v>78</v>
      </c>
    </row>
    <row r="6" spans="1:22" s="18" customFormat="1" ht="12.75">
      <c r="A6" s="152" t="s">
        <v>113</v>
      </c>
      <c r="B6" s="153">
        <v>42580</v>
      </c>
      <c r="C6" s="152" t="s">
        <v>114</v>
      </c>
      <c r="D6" s="154">
        <v>540</v>
      </c>
      <c r="E6" s="139"/>
      <c r="F6" s="140"/>
      <c r="J6" s="152"/>
      <c r="K6" s="153">
        <v>42580</v>
      </c>
      <c r="L6" s="141"/>
      <c r="M6" s="138">
        <v>42580</v>
      </c>
      <c r="N6" s="138">
        <v>42580</v>
      </c>
      <c r="O6" s="142">
        <f>+M6-K6</f>
        <v>0</v>
      </c>
      <c r="P6" s="142">
        <f>+N6-M6</f>
        <v>0</v>
      </c>
      <c r="Q6" s="142">
        <f>+N6-K6</f>
        <v>0</v>
      </c>
      <c r="R6" s="142">
        <f>+Q6-30</f>
        <v>-30</v>
      </c>
      <c r="S6" s="143">
        <v>29</v>
      </c>
      <c r="T6" s="144">
        <f>+P6*D6</f>
        <v>0</v>
      </c>
      <c r="U6" s="144">
        <f>+R6*D6</f>
        <v>-16200</v>
      </c>
      <c r="V6" s="143">
        <f>IF(P6&gt;30,200+S6,100+S6)</f>
        <v>129</v>
      </c>
    </row>
    <row r="7" spans="1:22" s="18" customFormat="1" ht="12.75">
      <c r="A7" s="152" t="s">
        <v>115</v>
      </c>
      <c r="B7" s="153">
        <v>42555</v>
      </c>
      <c r="C7" s="152" t="s">
        <v>116</v>
      </c>
      <c r="D7" s="154">
        <v>186.15</v>
      </c>
      <c r="E7" s="139"/>
      <c r="F7" s="140"/>
      <c r="J7" s="152"/>
      <c r="K7" s="153">
        <f>M7</f>
        <v>42555</v>
      </c>
      <c r="L7" s="141"/>
      <c r="M7" s="138">
        <v>42555</v>
      </c>
      <c r="N7" s="138">
        <v>42555</v>
      </c>
      <c r="O7" s="142">
        <f aca="true" t="shared" si="0" ref="O7:O70">+M7-K7</f>
        <v>0</v>
      </c>
      <c r="P7" s="142">
        <f aca="true" t="shared" si="1" ref="P7:P70">+N7-M7</f>
        <v>0</v>
      </c>
      <c r="Q7" s="142">
        <f aca="true" t="shared" si="2" ref="Q7:Q70">+N7-K7</f>
        <v>0</v>
      </c>
      <c r="R7" s="142">
        <f aca="true" t="shared" si="3" ref="R7:R70">+Q7-30</f>
        <v>-30</v>
      </c>
      <c r="S7" s="143">
        <v>29</v>
      </c>
      <c r="T7" s="144">
        <f aca="true" t="shared" si="4" ref="T7:T70">+P7*D7</f>
        <v>0</v>
      </c>
      <c r="U7" s="144">
        <f>+R7*D7</f>
        <v>-5584.5</v>
      </c>
      <c r="V7" s="143">
        <f aca="true" t="shared" si="5" ref="V7:V70">IF(P7&gt;30,200+S7,100+S7)</f>
        <v>129</v>
      </c>
    </row>
    <row r="8" spans="1:22" s="18" customFormat="1" ht="12.75">
      <c r="A8" s="152" t="s">
        <v>117</v>
      </c>
      <c r="B8" s="153">
        <v>42555</v>
      </c>
      <c r="C8" s="152" t="s">
        <v>118</v>
      </c>
      <c r="D8" s="154">
        <v>6420.12</v>
      </c>
      <c r="E8" s="139"/>
      <c r="F8" s="140"/>
      <c r="J8" s="152"/>
      <c r="K8" s="153">
        <v>42556</v>
      </c>
      <c r="L8" s="141"/>
      <c r="M8" s="138">
        <v>42566</v>
      </c>
      <c r="N8" s="138">
        <v>42566</v>
      </c>
      <c r="O8" s="142">
        <f t="shared" si="0"/>
        <v>10</v>
      </c>
      <c r="P8" s="142">
        <f t="shared" si="1"/>
        <v>0</v>
      </c>
      <c r="Q8" s="142">
        <f t="shared" si="2"/>
        <v>10</v>
      </c>
      <c r="R8" s="142">
        <f t="shared" si="3"/>
        <v>-20</v>
      </c>
      <c r="S8" s="143">
        <v>29</v>
      </c>
      <c r="T8" s="144">
        <f t="shared" si="4"/>
        <v>0</v>
      </c>
      <c r="U8" s="144">
        <f aca="true" t="shared" si="6" ref="U8:U71">+R8*D8</f>
        <v>-128402.4</v>
      </c>
      <c r="V8" s="143">
        <f t="shared" si="5"/>
        <v>129</v>
      </c>
    </row>
    <row r="9" spans="1:22" s="18" customFormat="1" ht="12.75">
      <c r="A9" s="152" t="s">
        <v>119</v>
      </c>
      <c r="B9" s="153">
        <v>42552</v>
      </c>
      <c r="C9" s="152" t="s">
        <v>120</v>
      </c>
      <c r="D9" s="154">
        <v>3119.79</v>
      </c>
      <c r="E9" s="139"/>
      <c r="F9" s="140"/>
      <c r="J9" s="152"/>
      <c r="K9" s="153">
        <v>42556</v>
      </c>
      <c r="L9" s="141"/>
      <c r="M9" s="138">
        <v>42566</v>
      </c>
      <c r="N9" s="138">
        <v>42566</v>
      </c>
      <c r="O9" s="142">
        <f t="shared" si="0"/>
        <v>10</v>
      </c>
      <c r="P9" s="142">
        <f t="shared" si="1"/>
        <v>0</v>
      </c>
      <c r="Q9" s="142">
        <f t="shared" si="2"/>
        <v>10</v>
      </c>
      <c r="R9" s="142">
        <f t="shared" si="3"/>
        <v>-20</v>
      </c>
      <c r="S9" s="143">
        <v>29</v>
      </c>
      <c r="T9" s="144">
        <f t="shared" si="4"/>
        <v>0</v>
      </c>
      <c r="U9" s="144">
        <f t="shared" si="6"/>
        <v>-62395.8</v>
      </c>
      <c r="V9" s="143">
        <f t="shared" si="5"/>
        <v>129</v>
      </c>
    </row>
    <row r="10" spans="1:22" s="18" customFormat="1" ht="12.75">
      <c r="A10" s="152" t="s">
        <v>121</v>
      </c>
      <c r="B10" s="153">
        <v>42552</v>
      </c>
      <c r="C10" s="152" t="s">
        <v>122</v>
      </c>
      <c r="D10" s="154">
        <v>2537.37</v>
      </c>
      <c r="E10" s="139"/>
      <c r="F10" s="140"/>
      <c r="J10" s="152"/>
      <c r="K10" s="153">
        <v>42556</v>
      </c>
      <c r="L10" s="141"/>
      <c r="M10" s="138">
        <v>42566</v>
      </c>
      <c r="N10" s="138">
        <v>42566</v>
      </c>
      <c r="O10" s="142">
        <f t="shared" si="0"/>
        <v>10</v>
      </c>
      <c r="P10" s="142">
        <f t="shared" si="1"/>
        <v>0</v>
      </c>
      <c r="Q10" s="142">
        <f t="shared" si="2"/>
        <v>10</v>
      </c>
      <c r="R10" s="142">
        <f t="shared" si="3"/>
        <v>-20</v>
      </c>
      <c r="S10" s="143">
        <v>29</v>
      </c>
      <c r="T10" s="144">
        <f t="shared" si="4"/>
        <v>0</v>
      </c>
      <c r="U10" s="144">
        <f t="shared" si="6"/>
        <v>-50747.399999999994</v>
      </c>
      <c r="V10" s="143">
        <f t="shared" si="5"/>
        <v>129</v>
      </c>
    </row>
    <row r="11" spans="1:22" s="18" customFormat="1" ht="12.75">
      <c r="A11" s="152" t="s">
        <v>123</v>
      </c>
      <c r="B11" s="153">
        <v>42552</v>
      </c>
      <c r="C11" s="152" t="s">
        <v>124</v>
      </c>
      <c r="D11" s="154">
        <v>54.68</v>
      </c>
      <c r="E11" s="139"/>
      <c r="F11" s="140"/>
      <c r="J11" s="152"/>
      <c r="K11" s="153">
        <f>M11</f>
        <v>42552</v>
      </c>
      <c r="L11" s="141"/>
      <c r="M11" s="138">
        <v>42552</v>
      </c>
      <c r="N11" s="138">
        <v>42552</v>
      </c>
      <c r="O11" s="142">
        <f t="shared" si="0"/>
        <v>0</v>
      </c>
      <c r="P11" s="142">
        <f t="shared" si="1"/>
        <v>0</v>
      </c>
      <c r="Q11" s="142">
        <f t="shared" si="2"/>
        <v>0</v>
      </c>
      <c r="R11" s="142">
        <f t="shared" si="3"/>
        <v>-30</v>
      </c>
      <c r="S11" s="143">
        <v>21</v>
      </c>
      <c r="T11" s="144">
        <f t="shared" si="4"/>
        <v>0</v>
      </c>
      <c r="U11" s="144">
        <f t="shared" si="6"/>
        <v>-1640.4</v>
      </c>
      <c r="V11" s="143">
        <f t="shared" si="5"/>
        <v>121</v>
      </c>
    </row>
    <row r="12" spans="1:22" s="18" customFormat="1" ht="12.75">
      <c r="A12" s="152" t="s">
        <v>125</v>
      </c>
      <c r="B12" s="153">
        <v>42556</v>
      </c>
      <c r="C12" s="152" t="s">
        <v>126</v>
      </c>
      <c r="D12" s="154">
        <v>16.94</v>
      </c>
      <c r="E12" s="139"/>
      <c r="F12" s="140"/>
      <c r="J12" s="152"/>
      <c r="K12" s="153">
        <v>42563</v>
      </c>
      <c r="L12" s="141"/>
      <c r="M12" s="138">
        <v>42566</v>
      </c>
      <c r="N12" s="138">
        <v>42566</v>
      </c>
      <c r="O12" s="142">
        <f t="shared" si="0"/>
        <v>3</v>
      </c>
      <c r="P12" s="142">
        <f t="shared" si="1"/>
        <v>0</v>
      </c>
      <c r="Q12" s="142">
        <f t="shared" si="2"/>
        <v>3</v>
      </c>
      <c r="R12" s="142">
        <f t="shared" si="3"/>
        <v>-27</v>
      </c>
      <c r="S12" s="143">
        <v>22</v>
      </c>
      <c r="T12" s="144">
        <f t="shared" si="4"/>
        <v>0</v>
      </c>
      <c r="U12" s="144">
        <f t="shared" si="6"/>
        <v>-457.38000000000005</v>
      </c>
      <c r="V12" s="143">
        <f t="shared" si="5"/>
        <v>122</v>
      </c>
    </row>
    <row r="13" spans="1:22" s="18" customFormat="1" ht="12.75">
      <c r="A13" s="152" t="s">
        <v>127</v>
      </c>
      <c r="B13" s="153">
        <v>42552</v>
      </c>
      <c r="C13" s="152" t="s">
        <v>128</v>
      </c>
      <c r="D13" s="154">
        <v>151.73</v>
      </c>
      <c r="E13" s="139"/>
      <c r="F13" s="140"/>
      <c r="J13" s="152"/>
      <c r="K13" s="153">
        <f>M13</f>
        <v>42552</v>
      </c>
      <c r="L13" s="141"/>
      <c r="M13" s="138">
        <v>42552</v>
      </c>
      <c r="N13" s="138">
        <v>42552</v>
      </c>
      <c r="O13" s="142">
        <f t="shared" si="0"/>
        <v>0</v>
      </c>
      <c r="P13" s="142">
        <f t="shared" si="1"/>
        <v>0</v>
      </c>
      <c r="Q13" s="142">
        <f t="shared" si="2"/>
        <v>0</v>
      </c>
      <c r="R13" s="142">
        <f t="shared" si="3"/>
        <v>-30</v>
      </c>
      <c r="S13" s="143">
        <v>29</v>
      </c>
      <c r="T13" s="144">
        <f t="shared" si="4"/>
        <v>0</v>
      </c>
      <c r="U13" s="144">
        <f t="shared" si="6"/>
        <v>-4551.9</v>
      </c>
      <c r="V13" s="143">
        <f t="shared" si="5"/>
        <v>129</v>
      </c>
    </row>
    <row r="14" spans="1:22" s="18" customFormat="1" ht="12.75">
      <c r="A14" s="152" t="s">
        <v>129</v>
      </c>
      <c r="B14" s="153">
        <v>42552</v>
      </c>
      <c r="C14" s="152" t="s">
        <v>130</v>
      </c>
      <c r="D14" s="154">
        <v>217.8</v>
      </c>
      <c r="E14" s="139"/>
      <c r="F14" s="140"/>
      <c r="J14" s="152"/>
      <c r="K14" s="153">
        <f>M14</f>
        <v>42556</v>
      </c>
      <c r="L14" s="141"/>
      <c r="M14" s="138">
        <v>42556</v>
      </c>
      <c r="N14" s="138">
        <v>42556</v>
      </c>
      <c r="O14" s="142">
        <f t="shared" si="0"/>
        <v>0</v>
      </c>
      <c r="P14" s="142">
        <f t="shared" si="1"/>
        <v>0</v>
      </c>
      <c r="Q14" s="142">
        <f t="shared" si="2"/>
        <v>0</v>
      </c>
      <c r="R14" s="142">
        <f t="shared" si="3"/>
        <v>-30</v>
      </c>
      <c r="S14" s="143">
        <v>20</v>
      </c>
      <c r="T14" s="144">
        <f t="shared" si="4"/>
        <v>0</v>
      </c>
      <c r="U14" s="144">
        <f t="shared" si="6"/>
        <v>-6534</v>
      </c>
      <c r="V14" s="143">
        <f t="shared" si="5"/>
        <v>120</v>
      </c>
    </row>
    <row r="15" spans="1:22" s="18" customFormat="1" ht="12.75">
      <c r="A15" s="152" t="s">
        <v>131</v>
      </c>
      <c r="B15" s="153">
        <v>42552</v>
      </c>
      <c r="C15" s="152" t="s">
        <v>132</v>
      </c>
      <c r="D15" s="154">
        <v>789.89</v>
      </c>
      <c r="E15" s="139"/>
      <c r="F15" s="140"/>
      <c r="J15" s="152"/>
      <c r="K15" s="153">
        <v>42563</v>
      </c>
      <c r="L15" s="141"/>
      <c r="M15" s="138">
        <v>42569</v>
      </c>
      <c r="N15" s="138">
        <v>42569</v>
      </c>
      <c r="O15" s="142">
        <f t="shared" si="0"/>
        <v>6</v>
      </c>
      <c r="P15" s="142">
        <f t="shared" si="1"/>
        <v>0</v>
      </c>
      <c r="Q15" s="142">
        <f t="shared" si="2"/>
        <v>6</v>
      </c>
      <c r="R15" s="142">
        <f t="shared" si="3"/>
        <v>-24</v>
      </c>
      <c r="S15" s="143">
        <v>21</v>
      </c>
      <c r="T15" s="144">
        <f t="shared" si="4"/>
        <v>0</v>
      </c>
      <c r="U15" s="144">
        <f t="shared" si="6"/>
        <v>-18957.36</v>
      </c>
      <c r="V15" s="143">
        <f t="shared" si="5"/>
        <v>121</v>
      </c>
    </row>
    <row r="16" spans="1:22" s="18" customFormat="1" ht="12.75">
      <c r="A16" s="152" t="s">
        <v>133</v>
      </c>
      <c r="B16" s="153">
        <v>42552</v>
      </c>
      <c r="C16" s="152" t="s">
        <v>134</v>
      </c>
      <c r="D16" s="154">
        <v>868.05</v>
      </c>
      <c r="E16" s="139"/>
      <c r="F16" s="140"/>
      <c r="J16" s="152"/>
      <c r="K16" s="153">
        <v>42563</v>
      </c>
      <c r="L16" s="141"/>
      <c r="M16" s="138">
        <v>42569</v>
      </c>
      <c r="N16" s="138">
        <v>42569</v>
      </c>
      <c r="O16" s="142">
        <f t="shared" si="0"/>
        <v>6</v>
      </c>
      <c r="P16" s="142">
        <f t="shared" si="1"/>
        <v>0</v>
      </c>
      <c r="Q16" s="142">
        <f t="shared" si="2"/>
        <v>6</v>
      </c>
      <c r="R16" s="142">
        <f t="shared" si="3"/>
        <v>-24</v>
      </c>
      <c r="S16" s="143">
        <v>21</v>
      </c>
      <c r="T16" s="144">
        <f t="shared" si="4"/>
        <v>0</v>
      </c>
      <c r="U16" s="144">
        <f t="shared" si="6"/>
        <v>-20833.199999999997</v>
      </c>
      <c r="V16" s="143">
        <f t="shared" si="5"/>
        <v>121</v>
      </c>
    </row>
    <row r="17" spans="1:22" s="18" customFormat="1" ht="12.75">
      <c r="A17" s="152" t="s">
        <v>135</v>
      </c>
      <c r="B17" s="153">
        <v>42552</v>
      </c>
      <c r="C17" s="152" t="s">
        <v>136</v>
      </c>
      <c r="D17" s="154">
        <v>149.77</v>
      </c>
      <c r="E17" s="143"/>
      <c r="J17" s="152"/>
      <c r="K17" s="153">
        <v>42564</v>
      </c>
      <c r="L17" s="141"/>
      <c r="M17" s="138">
        <v>42566</v>
      </c>
      <c r="N17" s="138">
        <v>42566</v>
      </c>
      <c r="O17" s="142">
        <f t="shared" si="0"/>
        <v>2</v>
      </c>
      <c r="P17" s="142">
        <f t="shared" si="1"/>
        <v>0</v>
      </c>
      <c r="Q17" s="142">
        <f t="shared" si="2"/>
        <v>2</v>
      </c>
      <c r="R17" s="142">
        <f t="shared" si="3"/>
        <v>-28</v>
      </c>
      <c r="S17" s="143">
        <v>29</v>
      </c>
      <c r="T17" s="144">
        <f t="shared" si="4"/>
        <v>0</v>
      </c>
      <c r="U17" s="144">
        <f t="shared" si="6"/>
        <v>-4193.56</v>
      </c>
      <c r="V17" s="143">
        <f t="shared" si="5"/>
        <v>129</v>
      </c>
    </row>
    <row r="18" spans="1:22" s="18" customFormat="1" ht="12.75">
      <c r="A18" s="152" t="s">
        <v>137</v>
      </c>
      <c r="B18" s="153">
        <v>42578</v>
      </c>
      <c r="C18" s="152" t="s">
        <v>138</v>
      </c>
      <c r="D18" s="154">
        <v>0.75</v>
      </c>
      <c r="J18" s="152"/>
      <c r="K18" s="153">
        <v>42583</v>
      </c>
      <c r="L18" s="141"/>
      <c r="M18" s="138">
        <v>42604</v>
      </c>
      <c r="N18" s="138">
        <v>42604</v>
      </c>
      <c r="O18" s="142">
        <f t="shared" si="0"/>
        <v>21</v>
      </c>
      <c r="P18" s="142">
        <f t="shared" si="1"/>
        <v>0</v>
      </c>
      <c r="Q18" s="142">
        <f t="shared" si="2"/>
        <v>21</v>
      </c>
      <c r="R18" s="142">
        <f t="shared" si="3"/>
        <v>-9</v>
      </c>
      <c r="S18" s="143">
        <v>22</v>
      </c>
      <c r="T18" s="144">
        <f t="shared" si="4"/>
        <v>0</v>
      </c>
      <c r="U18" s="144">
        <f>+R18*D18</f>
        <v>-6.75</v>
      </c>
      <c r="V18" s="143">
        <f t="shared" si="5"/>
        <v>122</v>
      </c>
    </row>
    <row r="19" spans="1:22" s="18" customFormat="1" ht="12.75">
      <c r="A19" s="152" t="s">
        <v>139</v>
      </c>
      <c r="B19" s="153">
        <v>42552</v>
      </c>
      <c r="C19" s="152" t="s">
        <v>140</v>
      </c>
      <c r="D19" s="154">
        <v>33.54</v>
      </c>
      <c r="J19" s="152"/>
      <c r="K19" s="153">
        <f aca="true" t="shared" si="7" ref="K19:K24">M19</f>
        <v>42557</v>
      </c>
      <c r="L19" s="141"/>
      <c r="M19" s="138">
        <v>42557</v>
      </c>
      <c r="N19" s="138">
        <v>42557</v>
      </c>
      <c r="O19" s="142">
        <f t="shared" si="0"/>
        <v>0</v>
      </c>
      <c r="P19" s="142">
        <f t="shared" si="1"/>
        <v>0</v>
      </c>
      <c r="Q19" s="142">
        <f t="shared" si="2"/>
        <v>0</v>
      </c>
      <c r="R19" s="142">
        <f t="shared" si="3"/>
        <v>-30</v>
      </c>
      <c r="S19" s="143">
        <v>21</v>
      </c>
      <c r="T19" s="144">
        <f t="shared" si="4"/>
        <v>0</v>
      </c>
      <c r="U19" s="144">
        <f t="shared" si="6"/>
        <v>-1006.1999999999999</v>
      </c>
      <c r="V19" s="143">
        <f t="shared" si="5"/>
        <v>121</v>
      </c>
    </row>
    <row r="20" spans="1:22" s="18" customFormat="1" ht="12.75">
      <c r="A20" s="152" t="s">
        <v>141</v>
      </c>
      <c r="B20" s="153">
        <v>42565</v>
      </c>
      <c r="C20" s="152" t="s">
        <v>142</v>
      </c>
      <c r="D20" s="154">
        <v>425.92</v>
      </c>
      <c r="J20" s="152"/>
      <c r="K20" s="153">
        <f t="shared" si="7"/>
        <v>42580</v>
      </c>
      <c r="L20" s="141"/>
      <c r="M20" s="138">
        <v>42580</v>
      </c>
      <c r="N20" s="138">
        <v>42580</v>
      </c>
      <c r="O20" s="142">
        <f t="shared" si="0"/>
        <v>0</v>
      </c>
      <c r="P20" s="142">
        <f t="shared" si="1"/>
        <v>0</v>
      </c>
      <c r="Q20" s="142">
        <f t="shared" si="2"/>
        <v>0</v>
      </c>
      <c r="R20" s="142">
        <f t="shared" si="3"/>
        <v>-30</v>
      </c>
      <c r="S20" s="143">
        <v>29</v>
      </c>
      <c r="T20" s="144">
        <f>+P20*D20</f>
        <v>0</v>
      </c>
      <c r="U20" s="144">
        <f t="shared" si="6"/>
        <v>-12777.6</v>
      </c>
      <c r="V20" s="143">
        <f t="shared" si="5"/>
        <v>129</v>
      </c>
    </row>
    <row r="21" spans="1:22" s="18" customFormat="1" ht="12.75">
      <c r="A21" s="152" t="s">
        <v>143</v>
      </c>
      <c r="B21" s="153">
        <v>42564</v>
      </c>
      <c r="C21" s="152" t="s">
        <v>144</v>
      </c>
      <c r="D21" s="154">
        <v>837.32</v>
      </c>
      <c r="J21" s="152"/>
      <c r="K21" s="153">
        <f t="shared" si="7"/>
        <v>42580</v>
      </c>
      <c r="L21" s="141"/>
      <c r="M21" s="138">
        <v>42580</v>
      </c>
      <c r="N21" s="138">
        <v>42580</v>
      </c>
      <c r="O21" s="142">
        <f t="shared" si="0"/>
        <v>0</v>
      </c>
      <c r="P21" s="142">
        <f t="shared" si="1"/>
        <v>0</v>
      </c>
      <c r="Q21" s="142">
        <f t="shared" si="2"/>
        <v>0</v>
      </c>
      <c r="R21" s="142">
        <f t="shared" si="3"/>
        <v>-30</v>
      </c>
      <c r="S21" s="143">
        <v>29</v>
      </c>
      <c r="T21" s="144">
        <f t="shared" si="4"/>
        <v>0</v>
      </c>
      <c r="U21" s="144">
        <f t="shared" si="6"/>
        <v>-25119.600000000002</v>
      </c>
      <c r="V21" s="143">
        <f t="shared" si="5"/>
        <v>129</v>
      </c>
    </row>
    <row r="22" spans="1:22" s="18" customFormat="1" ht="12.75">
      <c r="A22" s="152" t="s">
        <v>145</v>
      </c>
      <c r="B22" s="153">
        <v>42566</v>
      </c>
      <c r="C22" s="152" t="s">
        <v>146</v>
      </c>
      <c r="D22" s="154">
        <v>121</v>
      </c>
      <c r="J22" s="152"/>
      <c r="K22" s="153">
        <f t="shared" si="7"/>
        <v>42580</v>
      </c>
      <c r="L22" s="141"/>
      <c r="M22" s="138">
        <v>42580</v>
      </c>
      <c r="N22" s="138">
        <v>42580</v>
      </c>
      <c r="O22" s="142">
        <f t="shared" si="0"/>
        <v>0</v>
      </c>
      <c r="P22" s="142">
        <f t="shared" si="1"/>
        <v>0</v>
      </c>
      <c r="Q22" s="142">
        <f t="shared" si="2"/>
        <v>0</v>
      </c>
      <c r="R22" s="142">
        <f t="shared" si="3"/>
        <v>-30</v>
      </c>
      <c r="S22" s="143">
        <v>29</v>
      </c>
      <c r="T22" s="144">
        <f t="shared" si="4"/>
        <v>0</v>
      </c>
      <c r="U22" s="144">
        <f t="shared" si="6"/>
        <v>-3630</v>
      </c>
      <c r="V22" s="143">
        <f t="shared" si="5"/>
        <v>129</v>
      </c>
    </row>
    <row r="23" spans="1:22" s="143" customFormat="1" ht="12.75">
      <c r="A23" s="152" t="s">
        <v>147</v>
      </c>
      <c r="B23" s="153">
        <v>42562</v>
      </c>
      <c r="C23" s="152" t="s">
        <v>148</v>
      </c>
      <c r="D23" s="154">
        <v>375.1</v>
      </c>
      <c r="J23" s="152"/>
      <c r="K23" s="153">
        <f t="shared" si="7"/>
        <v>42580</v>
      </c>
      <c r="L23" s="147"/>
      <c r="M23" s="151">
        <v>42580</v>
      </c>
      <c r="N23" s="151">
        <v>42580</v>
      </c>
      <c r="O23" s="142">
        <f t="shared" si="0"/>
        <v>0</v>
      </c>
      <c r="P23" s="142">
        <f t="shared" si="1"/>
        <v>0</v>
      </c>
      <c r="Q23" s="142">
        <f t="shared" si="2"/>
        <v>0</v>
      </c>
      <c r="R23" s="142">
        <f t="shared" si="3"/>
        <v>-30</v>
      </c>
      <c r="S23" s="143">
        <v>29</v>
      </c>
      <c r="T23" s="144">
        <f t="shared" si="4"/>
        <v>0</v>
      </c>
      <c r="U23" s="144">
        <f t="shared" si="6"/>
        <v>-11253</v>
      </c>
      <c r="V23" s="143">
        <f t="shared" si="5"/>
        <v>129</v>
      </c>
    </row>
    <row r="24" spans="1:22" s="18" customFormat="1" ht="12.75">
      <c r="A24" s="152" t="s">
        <v>149</v>
      </c>
      <c r="B24" s="153">
        <v>42559</v>
      </c>
      <c r="C24" s="152" t="s">
        <v>150</v>
      </c>
      <c r="D24" s="154">
        <v>363</v>
      </c>
      <c r="J24" s="152"/>
      <c r="K24" s="153">
        <f t="shared" si="7"/>
        <v>42580</v>
      </c>
      <c r="L24" s="141"/>
      <c r="M24" s="138">
        <v>42580</v>
      </c>
      <c r="N24" s="138">
        <v>42580</v>
      </c>
      <c r="O24" s="142">
        <f t="shared" si="0"/>
        <v>0</v>
      </c>
      <c r="P24" s="142">
        <f t="shared" si="1"/>
        <v>0</v>
      </c>
      <c r="Q24" s="142">
        <f t="shared" si="2"/>
        <v>0</v>
      </c>
      <c r="R24" s="142">
        <f t="shared" si="3"/>
        <v>-30</v>
      </c>
      <c r="S24" s="143">
        <v>29</v>
      </c>
      <c r="T24" s="144">
        <f t="shared" si="4"/>
        <v>0</v>
      </c>
      <c r="U24" s="144">
        <f t="shared" si="6"/>
        <v>-10890</v>
      </c>
      <c r="V24" s="143">
        <f t="shared" si="5"/>
        <v>129</v>
      </c>
    </row>
    <row r="25" spans="1:22" s="18" customFormat="1" ht="12.75">
      <c r="A25" s="152" t="s">
        <v>151</v>
      </c>
      <c r="B25" s="153">
        <v>42565</v>
      </c>
      <c r="C25" s="152" t="s">
        <v>152</v>
      </c>
      <c r="D25" s="154">
        <v>40.14</v>
      </c>
      <c r="J25" s="152"/>
      <c r="K25" s="153">
        <v>42584</v>
      </c>
      <c r="L25" s="141"/>
      <c r="M25" s="138">
        <v>42595</v>
      </c>
      <c r="N25" s="138">
        <v>42595</v>
      </c>
      <c r="O25" s="142">
        <f t="shared" si="0"/>
        <v>11</v>
      </c>
      <c r="P25" s="142">
        <f t="shared" si="1"/>
        <v>0</v>
      </c>
      <c r="Q25" s="142">
        <f t="shared" si="2"/>
        <v>11</v>
      </c>
      <c r="R25" s="142">
        <f t="shared" si="3"/>
        <v>-19</v>
      </c>
      <c r="S25" s="143">
        <v>29</v>
      </c>
      <c r="T25" s="144">
        <f t="shared" si="4"/>
        <v>0</v>
      </c>
      <c r="U25" s="144">
        <f t="shared" si="6"/>
        <v>-762.66</v>
      </c>
      <c r="V25" s="143">
        <f t="shared" si="5"/>
        <v>129</v>
      </c>
    </row>
    <row r="26" spans="1:22" s="18" customFormat="1" ht="12.75">
      <c r="A26" s="152" t="s">
        <v>153</v>
      </c>
      <c r="B26" s="153">
        <v>42566</v>
      </c>
      <c r="C26" s="152" t="s">
        <v>154</v>
      </c>
      <c r="D26" s="154">
        <v>1264.45</v>
      </c>
      <c r="J26" s="152"/>
      <c r="K26" s="153">
        <f>M26</f>
        <v>42580</v>
      </c>
      <c r="L26" s="141"/>
      <c r="M26" s="138">
        <v>42580</v>
      </c>
      <c r="N26" s="138">
        <v>42580</v>
      </c>
      <c r="O26" s="142">
        <f t="shared" si="0"/>
        <v>0</v>
      </c>
      <c r="P26" s="142">
        <f t="shared" si="1"/>
        <v>0</v>
      </c>
      <c r="Q26" s="142">
        <f t="shared" si="2"/>
        <v>0</v>
      </c>
      <c r="R26" s="142">
        <f t="shared" si="3"/>
        <v>-30</v>
      </c>
      <c r="S26" s="143">
        <v>29</v>
      </c>
      <c r="T26" s="144">
        <f t="shared" si="4"/>
        <v>0</v>
      </c>
      <c r="U26" s="144">
        <f t="shared" si="6"/>
        <v>-37933.5</v>
      </c>
      <c r="V26" s="143">
        <f t="shared" si="5"/>
        <v>129</v>
      </c>
    </row>
    <row r="27" spans="1:22" s="18" customFormat="1" ht="12.75">
      <c r="A27" s="152" t="s">
        <v>155</v>
      </c>
      <c r="B27" s="153">
        <v>42565</v>
      </c>
      <c r="C27" s="152" t="s">
        <v>156</v>
      </c>
      <c r="D27" s="154">
        <v>250</v>
      </c>
      <c r="J27" s="152"/>
      <c r="K27" s="153">
        <f>M27</f>
        <v>42580</v>
      </c>
      <c r="L27" s="141"/>
      <c r="M27" s="138">
        <v>42580</v>
      </c>
      <c r="N27" s="138">
        <v>42580</v>
      </c>
      <c r="O27" s="142">
        <f t="shared" si="0"/>
        <v>0</v>
      </c>
      <c r="P27" s="142">
        <f t="shared" si="1"/>
        <v>0</v>
      </c>
      <c r="Q27" s="142">
        <f t="shared" si="2"/>
        <v>0</v>
      </c>
      <c r="R27" s="142">
        <f t="shared" si="3"/>
        <v>-30</v>
      </c>
      <c r="S27" s="143">
        <v>29</v>
      </c>
      <c r="T27" s="144">
        <f t="shared" si="4"/>
        <v>0</v>
      </c>
      <c r="U27" s="144">
        <f t="shared" si="6"/>
        <v>-7500</v>
      </c>
      <c r="V27" s="143">
        <f t="shared" si="5"/>
        <v>129</v>
      </c>
    </row>
    <row r="28" spans="1:22" s="18" customFormat="1" ht="12.75">
      <c r="A28" s="152" t="s">
        <v>157</v>
      </c>
      <c r="B28" s="153">
        <v>42554</v>
      </c>
      <c r="C28" s="152" t="s">
        <v>158</v>
      </c>
      <c r="D28" s="154">
        <v>36</v>
      </c>
      <c r="J28" s="152"/>
      <c r="K28" s="153">
        <f>M28</f>
        <v>42580</v>
      </c>
      <c r="L28" s="141"/>
      <c r="M28" s="138">
        <v>42580</v>
      </c>
      <c r="N28" s="138">
        <v>42580</v>
      </c>
      <c r="O28" s="142">
        <f t="shared" si="0"/>
        <v>0</v>
      </c>
      <c r="P28" s="142">
        <f t="shared" si="1"/>
        <v>0</v>
      </c>
      <c r="Q28" s="142">
        <f t="shared" si="2"/>
        <v>0</v>
      </c>
      <c r="R28" s="142">
        <f t="shared" si="3"/>
        <v>-30</v>
      </c>
      <c r="S28" s="143">
        <v>29</v>
      </c>
      <c r="T28" s="144">
        <f t="shared" si="4"/>
        <v>0</v>
      </c>
      <c r="U28" s="144">
        <f t="shared" si="6"/>
        <v>-1080</v>
      </c>
      <c r="V28" s="143">
        <f t="shared" si="5"/>
        <v>129</v>
      </c>
    </row>
    <row r="29" spans="1:22" s="18" customFormat="1" ht="12.75">
      <c r="A29" s="152" t="s">
        <v>159</v>
      </c>
      <c r="B29" s="153">
        <v>42554</v>
      </c>
      <c r="C29" s="152" t="s">
        <v>160</v>
      </c>
      <c r="D29" s="154">
        <v>38.6</v>
      </c>
      <c r="J29" s="152"/>
      <c r="K29" s="153">
        <f>M29</f>
        <v>42580</v>
      </c>
      <c r="L29" s="141"/>
      <c r="M29" s="138">
        <v>42580</v>
      </c>
      <c r="N29" s="138">
        <v>42580</v>
      </c>
      <c r="O29" s="142">
        <f t="shared" si="0"/>
        <v>0</v>
      </c>
      <c r="P29" s="142">
        <f t="shared" si="1"/>
        <v>0</v>
      </c>
      <c r="Q29" s="142">
        <f t="shared" si="2"/>
        <v>0</v>
      </c>
      <c r="R29" s="142">
        <f t="shared" si="3"/>
        <v>-30</v>
      </c>
      <c r="S29" s="143">
        <v>29</v>
      </c>
      <c r="T29" s="144">
        <f t="shared" si="4"/>
        <v>0</v>
      </c>
      <c r="U29" s="144">
        <f t="shared" si="6"/>
        <v>-1158</v>
      </c>
      <c r="V29" s="143">
        <f t="shared" si="5"/>
        <v>129</v>
      </c>
    </row>
    <row r="30" spans="1:22" s="18" customFormat="1" ht="12.75">
      <c r="A30" s="152" t="s">
        <v>161</v>
      </c>
      <c r="B30" s="153">
        <v>42554</v>
      </c>
      <c r="C30" s="152" t="s">
        <v>162</v>
      </c>
      <c r="D30" s="154">
        <v>38.6</v>
      </c>
      <c r="J30" s="152"/>
      <c r="K30" s="153">
        <f>M30</f>
        <v>42580</v>
      </c>
      <c r="L30" s="141"/>
      <c r="M30" s="138">
        <v>42580</v>
      </c>
      <c r="N30" s="138">
        <v>42580</v>
      </c>
      <c r="O30" s="142">
        <f t="shared" si="0"/>
        <v>0</v>
      </c>
      <c r="P30" s="142">
        <f t="shared" si="1"/>
        <v>0</v>
      </c>
      <c r="Q30" s="142">
        <f t="shared" si="2"/>
        <v>0</v>
      </c>
      <c r="R30" s="142">
        <f t="shared" si="3"/>
        <v>-30</v>
      </c>
      <c r="S30" s="143">
        <v>29</v>
      </c>
      <c r="T30" s="144">
        <f t="shared" si="4"/>
        <v>0</v>
      </c>
      <c r="U30" s="144">
        <f t="shared" si="6"/>
        <v>-1158</v>
      </c>
      <c r="V30" s="143">
        <f t="shared" si="5"/>
        <v>129</v>
      </c>
    </row>
    <row r="31" spans="1:22" s="18" customFormat="1" ht="12.75">
      <c r="A31" s="152" t="s">
        <v>163</v>
      </c>
      <c r="B31" s="153">
        <v>42571</v>
      </c>
      <c r="C31" s="152" t="s">
        <v>164</v>
      </c>
      <c r="D31" s="154">
        <v>435.6</v>
      </c>
      <c r="J31" s="152"/>
      <c r="K31" s="153">
        <v>42587</v>
      </c>
      <c r="L31" s="141"/>
      <c r="M31" s="138">
        <v>42598</v>
      </c>
      <c r="N31" s="138">
        <v>42598</v>
      </c>
      <c r="O31" s="142">
        <f t="shared" si="0"/>
        <v>11</v>
      </c>
      <c r="P31" s="142">
        <f t="shared" si="1"/>
        <v>0</v>
      </c>
      <c r="Q31" s="142">
        <f t="shared" si="2"/>
        <v>11</v>
      </c>
      <c r="R31" s="142">
        <f t="shared" si="3"/>
        <v>-19</v>
      </c>
      <c r="S31" s="143">
        <v>29</v>
      </c>
      <c r="T31" s="144">
        <f t="shared" si="4"/>
        <v>0</v>
      </c>
      <c r="U31" s="144">
        <f t="shared" si="6"/>
        <v>-8276.4</v>
      </c>
      <c r="V31" s="143">
        <f t="shared" si="5"/>
        <v>129</v>
      </c>
    </row>
    <row r="32" spans="1:22" s="18" customFormat="1" ht="12.75">
      <c r="A32" s="152" t="s">
        <v>165</v>
      </c>
      <c r="B32" s="153">
        <v>42569</v>
      </c>
      <c r="C32" s="152" t="s">
        <v>166</v>
      </c>
      <c r="D32" s="154">
        <v>85.91</v>
      </c>
      <c r="J32" s="152"/>
      <c r="K32" s="153">
        <v>42587</v>
      </c>
      <c r="L32" s="141"/>
      <c r="M32" s="138">
        <v>42598</v>
      </c>
      <c r="N32" s="138">
        <v>42598</v>
      </c>
      <c r="O32" s="142">
        <f t="shared" si="0"/>
        <v>11</v>
      </c>
      <c r="P32" s="142">
        <f t="shared" si="1"/>
        <v>0</v>
      </c>
      <c r="Q32" s="142">
        <f t="shared" si="2"/>
        <v>11</v>
      </c>
      <c r="R32" s="142">
        <f t="shared" si="3"/>
        <v>-19</v>
      </c>
      <c r="S32" s="143">
        <v>29</v>
      </c>
      <c r="T32" s="144">
        <f t="shared" si="4"/>
        <v>0</v>
      </c>
      <c r="U32" s="144">
        <f t="shared" si="6"/>
        <v>-1632.29</v>
      </c>
      <c r="V32" s="143">
        <f t="shared" si="5"/>
        <v>129</v>
      </c>
    </row>
    <row r="33" spans="1:22" s="18" customFormat="1" ht="12.75">
      <c r="A33" s="152" t="s">
        <v>167</v>
      </c>
      <c r="B33" s="153">
        <v>42556</v>
      </c>
      <c r="C33" s="152" t="s">
        <v>168</v>
      </c>
      <c r="D33" s="154">
        <v>46.52</v>
      </c>
      <c r="J33" s="152"/>
      <c r="K33" s="153">
        <v>42587</v>
      </c>
      <c r="L33" s="141"/>
      <c r="M33" s="138">
        <v>42604</v>
      </c>
      <c r="N33" s="138">
        <v>42604</v>
      </c>
      <c r="O33" s="142">
        <f t="shared" si="0"/>
        <v>17</v>
      </c>
      <c r="P33" s="142">
        <f t="shared" si="1"/>
        <v>0</v>
      </c>
      <c r="Q33" s="142">
        <f t="shared" si="2"/>
        <v>17</v>
      </c>
      <c r="R33" s="142">
        <f t="shared" si="3"/>
        <v>-13</v>
      </c>
      <c r="S33" s="143">
        <v>22</v>
      </c>
      <c r="T33" s="144">
        <f t="shared" si="4"/>
        <v>0</v>
      </c>
      <c r="U33" s="144">
        <f t="shared" si="6"/>
        <v>-604.76</v>
      </c>
      <c r="V33" s="143">
        <f t="shared" si="5"/>
        <v>122</v>
      </c>
    </row>
    <row r="34" spans="1:22" s="18" customFormat="1" ht="12.75">
      <c r="A34" s="152" t="s">
        <v>169</v>
      </c>
      <c r="B34" s="153">
        <v>42557</v>
      </c>
      <c r="C34" s="152" t="s">
        <v>170</v>
      </c>
      <c r="D34" s="154">
        <v>17.55</v>
      </c>
      <c r="J34" s="152"/>
      <c r="K34" s="153">
        <v>42587</v>
      </c>
      <c r="L34" s="141"/>
      <c r="M34" s="138">
        <v>42604</v>
      </c>
      <c r="N34" s="138">
        <v>42604</v>
      </c>
      <c r="O34" s="142">
        <f t="shared" si="0"/>
        <v>17</v>
      </c>
      <c r="P34" s="142">
        <f t="shared" si="1"/>
        <v>0</v>
      </c>
      <c r="Q34" s="142">
        <f t="shared" si="2"/>
        <v>17</v>
      </c>
      <c r="R34" s="142">
        <f t="shared" si="3"/>
        <v>-13</v>
      </c>
      <c r="S34" s="143">
        <v>22</v>
      </c>
      <c r="T34" s="144">
        <f t="shared" si="4"/>
        <v>0</v>
      </c>
      <c r="U34" s="144">
        <f t="shared" si="6"/>
        <v>-228.15</v>
      </c>
      <c r="V34" s="143">
        <f t="shared" si="5"/>
        <v>122</v>
      </c>
    </row>
    <row r="35" spans="1:22" s="18" customFormat="1" ht="12.75">
      <c r="A35" s="152" t="s">
        <v>171</v>
      </c>
      <c r="B35" s="153">
        <v>42582</v>
      </c>
      <c r="C35" s="152" t="s">
        <v>172</v>
      </c>
      <c r="D35" s="154">
        <v>257.7</v>
      </c>
      <c r="J35" s="152"/>
      <c r="K35" s="153">
        <v>42587</v>
      </c>
      <c r="L35" s="141"/>
      <c r="M35" s="138">
        <v>42604</v>
      </c>
      <c r="N35" s="138">
        <v>42604</v>
      </c>
      <c r="O35" s="142">
        <f t="shared" si="0"/>
        <v>17</v>
      </c>
      <c r="P35" s="142">
        <f t="shared" si="1"/>
        <v>0</v>
      </c>
      <c r="Q35" s="142">
        <f t="shared" si="2"/>
        <v>17</v>
      </c>
      <c r="R35" s="142">
        <f t="shared" si="3"/>
        <v>-13</v>
      </c>
      <c r="S35" s="143">
        <v>29</v>
      </c>
      <c r="T35" s="144">
        <f t="shared" si="4"/>
        <v>0</v>
      </c>
      <c r="U35" s="144">
        <f t="shared" si="6"/>
        <v>-3350.1</v>
      </c>
      <c r="V35" s="143">
        <f t="shared" si="5"/>
        <v>129</v>
      </c>
    </row>
    <row r="36" spans="1:22" s="18" customFormat="1" ht="12.75">
      <c r="A36" s="152" t="s">
        <v>173</v>
      </c>
      <c r="B36" s="153">
        <v>42556</v>
      </c>
      <c r="C36" s="152" t="s">
        <v>174</v>
      </c>
      <c r="D36" s="154">
        <v>67.05</v>
      </c>
      <c r="J36" s="152"/>
      <c r="K36" s="153">
        <v>42587</v>
      </c>
      <c r="L36" s="141"/>
      <c r="M36" s="138">
        <v>42592</v>
      </c>
      <c r="N36" s="138">
        <v>42592</v>
      </c>
      <c r="O36" s="142">
        <f t="shared" si="0"/>
        <v>5</v>
      </c>
      <c r="P36" s="142">
        <f t="shared" si="1"/>
        <v>0</v>
      </c>
      <c r="Q36" s="142">
        <f t="shared" si="2"/>
        <v>5</v>
      </c>
      <c r="R36" s="142">
        <f t="shared" si="3"/>
        <v>-25</v>
      </c>
      <c r="S36" s="143">
        <v>29</v>
      </c>
      <c r="T36" s="144">
        <f t="shared" si="4"/>
        <v>0</v>
      </c>
      <c r="U36" s="144">
        <f t="shared" si="6"/>
        <v>-1676.25</v>
      </c>
      <c r="V36" s="143">
        <f t="shared" si="5"/>
        <v>129</v>
      </c>
    </row>
    <row r="37" spans="1:22" s="18" customFormat="1" ht="12.75">
      <c r="A37" s="152" t="s">
        <v>175</v>
      </c>
      <c r="B37" s="153">
        <v>42552</v>
      </c>
      <c r="C37" s="152" t="s">
        <v>176</v>
      </c>
      <c r="D37" s="154">
        <v>204.79</v>
      </c>
      <c r="J37" s="152"/>
      <c r="K37" s="153">
        <f>M37</f>
        <v>42581</v>
      </c>
      <c r="L37" s="141"/>
      <c r="M37" s="138">
        <v>42581</v>
      </c>
      <c r="N37" s="138">
        <v>42581</v>
      </c>
      <c r="O37" s="142">
        <f t="shared" si="0"/>
        <v>0</v>
      </c>
      <c r="P37" s="142">
        <f t="shared" si="1"/>
        <v>0</v>
      </c>
      <c r="Q37" s="142">
        <f t="shared" si="2"/>
        <v>0</v>
      </c>
      <c r="R37" s="142">
        <f t="shared" si="3"/>
        <v>-30</v>
      </c>
      <c r="S37" s="143">
        <v>29</v>
      </c>
      <c r="T37" s="144">
        <f t="shared" si="4"/>
        <v>0</v>
      </c>
      <c r="U37" s="144">
        <f t="shared" si="6"/>
        <v>-6143.7</v>
      </c>
      <c r="V37" s="143">
        <f t="shared" si="5"/>
        <v>129</v>
      </c>
    </row>
    <row r="38" spans="1:22" s="18" customFormat="1" ht="12.75">
      <c r="A38" s="152" t="s">
        <v>177</v>
      </c>
      <c r="B38" s="153">
        <v>42562</v>
      </c>
      <c r="C38" s="152" t="s">
        <v>178</v>
      </c>
      <c r="D38" s="154">
        <v>1329.11</v>
      </c>
      <c r="J38" s="152"/>
      <c r="K38" s="153">
        <v>42587</v>
      </c>
      <c r="L38" s="141"/>
      <c r="M38" s="138">
        <v>42604</v>
      </c>
      <c r="N38" s="138">
        <v>42604</v>
      </c>
      <c r="O38" s="142">
        <f t="shared" si="0"/>
        <v>17</v>
      </c>
      <c r="P38" s="142">
        <f t="shared" si="1"/>
        <v>0</v>
      </c>
      <c r="Q38" s="142">
        <f t="shared" si="2"/>
        <v>17</v>
      </c>
      <c r="R38" s="142">
        <f t="shared" si="3"/>
        <v>-13</v>
      </c>
      <c r="S38" s="143">
        <v>21</v>
      </c>
      <c r="T38" s="144">
        <f t="shared" si="4"/>
        <v>0</v>
      </c>
      <c r="U38" s="144">
        <f t="shared" si="6"/>
        <v>-17278.43</v>
      </c>
      <c r="V38" s="143">
        <f t="shared" si="5"/>
        <v>121</v>
      </c>
    </row>
    <row r="39" spans="1:22" s="18" customFormat="1" ht="12.75">
      <c r="A39" s="152" t="s">
        <v>179</v>
      </c>
      <c r="B39" s="153">
        <v>42568</v>
      </c>
      <c r="C39" s="152" t="s">
        <v>180</v>
      </c>
      <c r="D39" s="154">
        <v>575.31</v>
      </c>
      <c r="J39" s="152"/>
      <c r="K39" s="153">
        <v>42587</v>
      </c>
      <c r="L39" s="141"/>
      <c r="M39" s="138">
        <v>42604</v>
      </c>
      <c r="N39" s="138">
        <v>42604</v>
      </c>
      <c r="O39" s="142">
        <f t="shared" si="0"/>
        <v>17</v>
      </c>
      <c r="P39" s="142">
        <f t="shared" si="1"/>
        <v>0</v>
      </c>
      <c r="Q39" s="142">
        <f t="shared" si="2"/>
        <v>17</v>
      </c>
      <c r="R39" s="142">
        <f t="shared" si="3"/>
        <v>-13</v>
      </c>
      <c r="S39" s="143">
        <v>21</v>
      </c>
      <c r="T39" s="144">
        <f t="shared" si="4"/>
        <v>0</v>
      </c>
      <c r="U39" s="144">
        <f t="shared" si="6"/>
        <v>-7479.029999999999</v>
      </c>
      <c r="V39" s="143">
        <f t="shared" si="5"/>
        <v>121</v>
      </c>
    </row>
    <row r="40" spans="1:22" s="18" customFormat="1" ht="12.75">
      <c r="A40" s="152" t="s">
        <v>181</v>
      </c>
      <c r="B40" s="153">
        <v>42569</v>
      </c>
      <c r="C40" s="152" t="s">
        <v>182</v>
      </c>
      <c r="D40" s="154">
        <v>70</v>
      </c>
      <c r="J40" s="152"/>
      <c r="K40" s="153">
        <f>M40</f>
        <v>42566</v>
      </c>
      <c r="L40" s="141"/>
      <c r="M40" s="138">
        <v>42566</v>
      </c>
      <c r="N40" s="138">
        <v>42566</v>
      </c>
      <c r="O40" s="142">
        <f t="shared" si="0"/>
        <v>0</v>
      </c>
      <c r="P40" s="142">
        <f t="shared" si="1"/>
        <v>0</v>
      </c>
      <c r="Q40" s="142">
        <f t="shared" si="2"/>
        <v>0</v>
      </c>
      <c r="R40" s="142">
        <f t="shared" si="3"/>
        <v>-30</v>
      </c>
      <c r="S40" s="143">
        <v>29</v>
      </c>
      <c r="T40" s="144">
        <f t="shared" si="4"/>
        <v>0</v>
      </c>
      <c r="U40" s="144">
        <f t="shared" si="6"/>
        <v>-2100</v>
      </c>
      <c r="V40" s="143">
        <f t="shared" si="5"/>
        <v>129</v>
      </c>
    </row>
    <row r="41" spans="1:22" s="18" customFormat="1" ht="12.75">
      <c r="A41" s="152" t="s">
        <v>183</v>
      </c>
      <c r="B41" s="153">
        <v>42580</v>
      </c>
      <c r="C41" s="152" t="s">
        <v>184</v>
      </c>
      <c r="D41" s="154">
        <v>242</v>
      </c>
      <c r="J41" s="152"/>
      <c r="K41" s="153">
        <v>42590</v>
      </c>
      <c r="L41" s="141"/>
      <c r="M41" s="138">
        <v>42604</v>
      </c>
      <c r="N41" s="138">
        <v>42604</v>
      </c>
      <c r="O41" s="142">
        <f t="shared" si="0"/>
        <v>14</v>
      </c>
      <c r="P41" s="142">
        <f t="shared" si="1"/>
        <v>0</v>
      </c>
      <c r="Q41" s="142">
        <f t="shared" si="2"/>
        <v>14</v>
      </c>
      <c r="R41" s="142">
        <f t="shared" si="3"/>
        <v>-16</v>
      </c>
      <c r="S41" s="143">
        <v>29</v>
      </c>
      <c r="T41" s="144">
        <f t="shared" si="4"/>
        <v>0</v>
      </c>
      <c r="U41" s="144">
        <f t="shared" si="6"/>
        <v>-3872</v>
      </c>
      <c r="V41" s="143">
        <f t="shared" si="5"/>
        <v>129</v>
      </c>
    </row>
    <row r="42" spans="1:22" s="18" customFormat="1" ht="12.75">
      <c r="A42" s="152" t="s">
        <v>185</v>
      </c>
      <c r="B42" s="153">
        <v>42552</v>
      </c>
      <c r="C42" s="152" t="s">
        <v>186</v>
      </c>
      <c r="D42" s="154">
        <v>200</v>
      </c>
      <c r="J42" s="152"/>
      <c r="K42" s="153">
        <v>42590</v>
      </c>
      <c r="L42" s="141"/>
      <c r="M42" s="138">
        <v>42604</v>
      </c>
      <c r="N42" s="138">
        <v>42604</v>
      </c>
      <c r="O42" s="142">
        <f t="shared" si="0"/>
        <v>14</v>
      </c>
      <c r="P42" s="142">
        <f t="shared" si="1"/>
        <v>0</v>
      </c>
      <c r="Q42" s="142">
        <f t="shared" si="2"/>
        <v>14</v>
      </c>
      <c r="R42" s="142">
        <f t="shared" si="3"/>
        <v>-16</v>
      </c>
      <c r="S42" s="143">
        <v>29</v>
      </c>
      <c r="T42" s="144">
        <f t="shared" si="4"/>
        <v>0</v>
      </c>
      <c r="U42" s="144">
        <f t="shared" si="6"/>
        <v>-3200</v>
      </c>
      <c r="V42" s="143">
        <f t="shared" si="5"/>
        <v>129</v>
      </c>
    </row>
    <row r="43" spans="1:22" s="18" customFormat="1" ht="12.75">
      <c r="A43" s="152" t="s">
        <v>187</v>
      </c>
      <c r="B43" s="153">
        <v>42564</v>
      </c>
      <c r="C43" s="152" t="s">
        <v>188</v>
      </c>
      <c r="D43" s="154">
        <v>334.43</v>
      </c>
      <c r="J43" s="152"/>
      <c r="K43" s="153">
        <f>M43</f>
        <v>42566</v>
      </c>
      <c r="L43" s="141"/>
      <c r="M43" s="138">
        <v>42566</v>
      </c>
      <c r="N43" s="138">
        <v>42566</v>
      </c>
      <c r="O43" s="142">
        <f t="shared" si="0"/>
        <v>0</v>
      </c>
      <c r="P43" s="142">
        <f t="shared" si="1"/>
        <v>0</v>
      </c>
      <c r="Q43" s="142">
        <f t="shared" si="2"/>
        <v>0</v>
      </c>
      <c r="R43" s="142">
        <f t="shared" si="3"/>
        <v>-30</v>
      </c>
      <c r="S43" s="143">
        <v>29</v>
      </c>
      <c r="T43" s="144">
        <f t="shared" si="4"/>
        <v>0</v>
      </c>
      <c r="U43" s="144">
        <f t="shared" si="6"/>
        <v>-10032.9</v>
      </c>
      <c r="V43" s="143">
        <f t="shared" si="5"/>
        <v>129</v>
      </c>
    </row>
    <row r="44" spans="1:22" s="18" customFormat="1" ht="12.75">
      <c r="A44" s="152" t="s">
        <v>189</v>
      </c>
      <c r="B44" s="153">
        <v>42577</v>
      </c>
      <c r="C44" s="152" t="s">
        <v>190</v>
      </c>
      <c r="D44" s="154">
        <v>25988.56</v>
      </c>
      <c r="J44" s="152"/>
      <c r="K44" s="153">
        <v>42591</v>
      </c>
      <c r="L44" s="141"/>
      <c r="M44" s="138">
        <v>42604</v>
      </c>
      <c r="N44" s="138">
        <v>42604</v>
      </c>
      <c r="O44" s="142">
        <f t="shared" si="0"/>
        <v>13</v>
      </c>
      <c r="P44" s="142">
        <f t="shared" si="1"/>
        <v>0</v>
      </c>
      <c r="Q44" s="142">
        <f t="shared" si="2"/>
        <v>13</v>
      </c>
      <c r="R44" s="142">
        <f t="shared" si="3"/>
        <v>-17</v>
      </c>
      <c r="S44" s="143">
        <v>29</v>
      </c>
      <c r="T44" s="144">
        <f t="shared" si="4"/>
        <v>0</v>
      </c>
      <c r="U44" s="144">
        <f t="shared" si="6"/>
        <v>-441805.52</v>
      </c>
      <c r="V44" s="143">
        <f t="shared" si="5"/>
        <v>129</v>
      </c>
    </row>
    <row r="45" spans="1:22" s="18" customFormat="1" ht="12.75">
      <c r="A45" s="152" t="s">
        <v>191</v>
      </c>
      <c r="B45" s="153">
        <v>42582</v>
      </c>
      <c r="C45" s="152" t="s">
        <v>192</v>
      </c>
      <c r="D45" s="154">
        <v>2254.71</v>
      </c>
      <c r="J45" s="152"/>
      <c r="K45" s="153">
        <v>42591</v>
      </c>
      <c r="L45" s="141"/>
      <c r="M45" s="138">
        <v>42604</v>
      </c>
      <c r="N45" s="138">
        <v>42604</v>
      </c>
      <c r="O45" s="142">
        <f t="shared" si="0"/>
        <v>13</v>
      </c>
      <c r="P45" s="142">
        <f t="shared" si="1"/>
        <v>0</v>
      </c>
      <c r="Q45" s="142">
        <f t="shared" si="2"/>
        <v>13</v>
      </c>
      <c r="R45" s="142">
        <f t="shared" si="3"/>
        <v>-17</v>
      </c>
      <c r="S45" s="143">
        <v>29</v>
      </c>
      <c r="T45" s="144">
        <f t="shared" si="4"/>
        <v>0</v>
      </c>
      <c r="U45" s="144">
        <f t="shared" si="6"/>
        <v>-38330.07</v>
      </c>
      <c r="V45" s="143">
        <f t="shared" si="5"/>
        <v>129</v>
      </c>
    </row>
    <row r="46" spans="1:22" s="18" customFormat="1" ht="12.75">
      <c r="A46" s="152" t="s">
        <v>193</v>
      </c>
      <c r="B46" s="153">
        <v>42583</v>
      </c>
      <c r="C46" s="152" t="s">
        <v>194</v>
      </c>
      <c r="D46" s="154">
        <v>185.28</v>
      </c>
      <c r="J46" s="152"/>
      <c r="K46" s="153">
        <v>42592</v>
      </c>
      <c r="L46" s="141"/>
      <c r="M46" s="138">
        <v>42604</v>
      </c>
      <c r="N46" s="138">
        <v>42604</v>
      </c>
      <c r="O46" s="142">
        <f t="shared" si="0"/>
        <v>12</v>
      </c>
      <c r="P46" s="142">
        <f t="shared" si="1"/>
        <v>0</v>
      </c>
      <c r="Q46" s="142">
        <f t="shared" si="2"/>
        <v>12</v>
      </c>
      <c r="R46" s="142">
        <f t="shared" si="3"/>
        <v>-18</v>
      </c>
      <c r="S46" s="143">
        <v>29</v>
      </c>
      <c r="T46" s="144">
        <f t="shared" si="4"/>
        <v>0</v>
      </c>
      <c r="U46" s="144">
        <f t="shared" si="6"/>
        <v>-3335.04</v>
      </c>
      <c r="V46" s="143">
        <f t="shared" si="5"/>
        <v>129</v>
      </c>
    </row>
    <row r="47" spans="1:22" s="18" customFormat="1" ht="12.75">
      <c r="A47" s="152" t="s">
        <v>195</v>
      </c>
      <c r="B47" s="153">
        <v>42582</v>
      </c>
      <c r="C47" s="152" t="s">
        <v>196</v>
      </c>
      <c r="D47" s="154">
        <v>434.7</v>
      </c>
      <c r="J47" s="152"/>
      <c r="K47" s="153">
        <v>42594</v>
      </c>
      <c r="L47" s="141"/>
      <c r="M47" s="138">
        <v>42604</v>
      </c>
      <c r="N47" s="138">
        <v>42604</v>
      </c>
      <c r="O47" s="142">
        <f t="shared" si="0"/>
        <v>10</v>
      </c>
      <c r="P47" s="142">
        <f t="shared" si="1"/>
        <v>0</v>
      </c>
      <c r="Q47" s="142">
        <f t="shared" si="2"/>
        <v>10</v>
      </c>
      <c r="R47" s="142">
        <f t="shared" si="3"/>
        <v>-20</v>
      </c>
      <c r="S47" s="143">
        <v>29</v>
      </c>
      <c r="T47" s="144">
        <f t="shared" si="4"/>
        <v>0</v>
      </c>
      <c r="U47" s="144">
        <f t="shared" si="6"/>
        <v>-8694</v>
      </c>
      <c r="V47" s="143">
        <f t="shared" si="5"/>
        <v>129</v>
      </c>
    </row>
    <row r="48" spans="1:22" s="18" customFormat="1" ht="12.75">
      <c r="A48" s="152" t="s">
        <v>197</v>
      </c>
      <c r="B48" s="153">
        <v>42569</v>
      </c>
      <c r="C48" s="152" t="s">
        <v>198</v>
      </c>
      <c r="D48" s="154">
        <v>151.25</v>
      </c>
      <c r="J48" s="152"/>
      <c r="K48" s="153">
        <v>42594</v>
      </c>
      <c r="L48" s="141"/>
      <c r="M48" s="138">
        <v>42604</v>
      </c>
      <c r="N48" s="138">
        <v>42604</v>
      </c>
      <c r="O48" s="142">
        <f t="shared" si="0"/>
        <v>10</v>
      </c>
      <c r="P48" s="142">
        <f t="shared" si="1"/>
        <v>0</v>
      </c>
      <c r="Q48" s="142">
        <f t="shared" si="2"/>
        <v>10</v>
      </c>
      <c r="R48" s="142">
        <f t="shared" si="3"/>
        <v>-20</v>
      </c>
      <c r="S48" s="143">
        <v>21</v>
      </c>
      <c r="T48" s="144">
        <f t="shared" si="4"/>
        <v>0</v>
      </c>
      <c r="U48" s="144">
        <f t="shared" si="6"/>
        <v>-3025</v>
      </c>
      <c r="V48" s="143">
        <f t="shared" si="5"/>
        <v>121</v>
      </c>
    </row>
    <row r="49" spans="1:22" s="18" customFormat="1" ht="12.75">
      <c r="A49" s="152" t="s">
        <v>199</v>
      </c>
      <c r="B49" s="153">
        <v>42565</v>
      </c>
      <c r="C49" s="152" t="s">
        <v>200</v>
      </c>
      <c r="D49" s="154">
        <v>441.51</v>
      </c>
      <c r="J49" s="152"/>
      <c r="K49" s="153">
        <f aca="true" t="shared" si="8" ref="K49:K55">M49</f>
        <v>42569</v>
      </c>
      <c r="L49" s="141"/>
      <c r="M49" s="138">
        <v>42569</v>
      </c>
      <c r="N49" s="138">
        <v>42569</v>
      </c>
      <c r="O49" s="142">
        <f t="shared" si="0"/>
        <v>0</v>
      </c>
      <c r="P49" s="142">
        <f t="shared" si="1"/>
        <v>0</v>
      </c>
      <c r="Q49" s="142">
        <f t="shared" si="2"/>
        <v>0</v>
      </c>
      <c r="R49" s="142">
        <f t="shared" si="3"/>
        <v>-30</v>
      </c>
      <c r="S49" s="143">
        <v>29</v>
      </c>
      <c r="T49" s="144">
        <f t="shared" si="4"/>
        <v>0</v>
      </c>
      <c r="U49" s="144">
        <f t="shared" si="6"/>
        <v>-13245.3</v>
      </c>
      <c r="V49" s="143">
        <f t="shared" si="5"/>
        <v>129</v>
      </c>
    </row>
    <row r="50" spans="1:22" s="18" customFormat="1" ht="12.75">
      <c r="A50" s="152" t="s">
        <v>201</v>
      </c>
      <c r="B50" s="153">
        <v>42565</v>
      </c>
      <c r="C50" s="152" t="s">
        <v>202</v>
      </c>
      <c r="D50" s="154">
        <v>13.85</v>
      </c>
      <c r="J50" s="152"/>
      <c r="K50" s="153">
        <f t="shared" si="8"/>
        <v>42573</v>
      </c>
      <c r="L50" s="141"/>
      <c r="M50" s="138">
        <v>42573</v>
      </c>
      <c r="N50" s="138">
        <v>42573</v>
      </c>
      <c r="O50" s="142">
        <f t="shared" si="0"/>
        <v>0</v>
      </c>
      <c r="P50" s="142">
        <f t="shared" si="1"/>
        <v>0</v>
      </c>
      <c r="Q50" s="142">
        <f t="shared" si="2"/>
        <v>0</v>
      </c>
      <c r="R50" s="142">
        <f t="shared" si="3"/>
        <v>-30</v>
      </c>
      <c r="S50" s="143">
        <v>29</v>
      </c>
      <c r="T50" s="144">
        <f t="shared" si="4"/>
        <v>0</v>
      </c>
      <c r="U50" s="144">
        <f t="shared" si="6"/>
        <v>-415.5</v>
      </c>
      <c r="V50" s="143">
        <f t="shared" si="5"/>
        <v>129</v>
      </c>
    </row>
    <row r="51" spans="1:22" s="18" customFormat="1" ht="12.75">
      <c r="A51" s="152" t="s">
        <v>203</v>
      </c>
      <c r="B51" s="153">
        <v>42565</v>
      </c>
      <c r="C51" s="152" t="s">
        <v>204</v>
      </c>
      <c r="D51" s="154">
        <v>27.87</v>
      </c>
      <c r="J51" s="152"/>
      <c r="K51" s="153">
        <f t="shared" si="8"/>
        <v>42573</v>
      </c>
      <c r="L51" s="141"/>
      <c r="M51" s="138">
        <v>42573</v>
      </c>
      <c r="N51" s="138">
        <v>42573</v>
      </c>
      <c r="O51" s="142">
        <f t="shared" si="0"/>
        <v>0</v>
      </c>
      <c r="P51" s="142">
        <f t="shared" si="1"/>
        <v>0</v>
      </c>
      <c r="Q51" s="142">
        <f t="shared" si="2"/>
        <v>0</v>
      </c>
      <c r="R51" s="142">
        <f t="shared" si="3"/>
        <v>-30</v>
      </c>
      <c r="S51" s="143">
        <v>29</v>
      </c>
      <c r="T51" s="144">
        <f t="shared" si="4"/>
        <v>0</v>
      </c>
      <c r="U51" s="144">
        <f t="shared" si="6"/>
        <v>-836.1</v>
      </c>
      <c r="V51" s="143">
        <f t="shared" si="5"/>
        <v>129</v>
      </c>
    </row>
    <row r="52" spans="1:22" s="18" customFormat="1" ht="12.75">
      <c r="A52" s="152" t="s">
        <v>205</v>
      </c>
      <c r="B52" s="153">
        <v>42565</v>
      </c>
      <c r="C52" s="152" t="s">
        <v>206</v>
      </c>
      <c r="D52" s="154">
        <v>15.74</v>
      </c>
      <c r="J52" s="152"/>
      <c r="K52" s="153">
        <f t="shared" si="8"/>
        <v>42573</v>
      </c>
      <c r="L52" s="141"/>
      <c r="M52" s="138">
        <v>42573</v>
      </c>
      <c r="N52" s="138">
        <v>42573</v>
      </c>
      <c r="O52" s="142">
        <f t="shared" si="0"/>
        <v>0</v>
      </c>
      <c r="P52" s="142">
        <f t="shared" si="1"/>
        <v>0</v>
      </c>
      <c r="Q52" s="142">
        <f t="shared" si="2"/>
        <v>0</v>
      </c>
      <c r="R52" s="142">
        <f t="shared" si="3"/>
        <v>-30</v>
      </c>
      <c r="S52" s="143">
        <v>29</v>
      </c>
      <c r="T52" s="144">
        <f t="shared" si="4"/>
        <v>0</v>
      </c>
      <c r="U52" s="144">
        <f t="shared" si="6"/>
        <v>-472.2</v>
      </c>
      <c r="V52" s="143">
        <f t="shared" si="5"/>
        <v>129</v>
      </c>
    </row>
    <row r="53" spans="1:22" s="18" customFormat="1" ht="12.75">
      <c r="A53" s="152" t="s">
        <v>207</v>
      </c>
      <c r="B53" s="153">
        <v>42565</v>
      </c>
      <c r="C53" s="152" t="s">
        <v>208</v>
      </c>
      <c r="D53" s="154">
        <v>26.45</v>
      </c>
      <c r="J53" s="152"/>
      <c r="K53" s="153">
        <f t="shared" si="8"/>
        <v>42573</v>
      </c>
      <c r="L53" s="141"/>
      <c r="M53" s="138">
        <v>42573</v>
      </c>
      <c r="N53" s="138">
        <v>42573</v>
      </c>
      <c r="O53" s="142">
        <f t="shared" si="0"/>
        <v>0</v>
      </c>
      <c r="P53" s="142">
        <f t="shared" si="1"/>
        <v>0</v>
      </c>
      <c r="Q53" s="142">
        <f t="shared" si="2"/>
        <v>0</v>
      </c>
      <c r="R53" s="142">
        <f t="shared" si="3"/>
        <v>-30</v>
      </c>
      <c r="S53" s="143">
        <v>29</v>
      </c>
      <c r="T53" s="144">
        <f t="shared" si="4"/>
        <v>0</v>
      </c>
      <c r="U53" s="144">
        <f t="shared" si="6"/>
        <v>-793.5</v>
      </c>
      <c r="V53" s="143">
        <f t="shared" si="5"/>
        <v>129</v>
      </c>
    </row>
    <row r="54" spans="1:22" s="18" customFormat="1" ht="12.75">
      <c r="A54" s="152" t="s">
        <v>209</v>
      </c>
      <c r="B54" s="153">
        <v>42565</v>
      </c>
      <c r="C54" s="152" t="s">
        <v>210</v>
      </c>
      <c r="D54" s="154">
        <v>22.64</v>
      </c>
      <c r="J54" s="152"/>
      <c r="K54" s="153">
        <f t="shared" si="8"/>
        <v>42573</v>
      </c>
      <c r="L54" s="141"/>
      <c r="M54" s="138">
        <v>42573</v>
      </c>
      <c r="N54" s="138">
        <v>42573</v>
      </c>
      <c r="O54" s="142">
        <f t="shared" si="0"/>
        <v>0</v>
      </c>
      <c r="P54" s="142">
        <f t="shared" si="1"/>
        <v>0</v>
      </c>
      <c r="Q54" s="142">
        <f t="shared" si="2"/>
        <v>0</v>
      </c>
      <c r="R54" s="142">
        <f t="shared" si="3"/>
        <v>-30</v>
      </c>
      <c r="S54" s="143">
        <v>29</v>
      </c>
      <c r="T54" s="144">
        <f t="shared" si="4"/>
        <v>0</v>
      </c>
      <c r="U54" s="144">
        <f t="shared" si="6"/>
        <v>-679.2</v>
      </c>
      <c r="V54" s="143">
        <f t="shared" si="5"/>
        <v>129</v>
      </c>
    </row>
    <row r="55" spans="1:22" s="18" customFormat="1" ht="12.75">
      <c r="A55" s="152" t="s">
        <v>211</v>
      </c>
      <c r="B55" s="153">
        <v>42582</v>
      </c>
      <c r="C55" s="152" t="s">
        <v>212</v>
      </c>
      <c r="D55" s="154">
        <v>1108.17</v>
      </c>
      <c r="J55" s="152"/>
      <c r="K55" s="153">
        <f t="shared" si="8"/>
        <v>42584</v>
      </c>
      <c r="L55" s="141"/>
      <c r="M55" s="138">
        <v>42584</v>
      </c>
      <c r="N55" s="138">
        <v>42584</v>
      </c>
      <c r="O55" s="142">
        <f t="shared" si="0"/>
        <v>0</v>
      </c>
      <c r="P55" s="142">
        <f t="shared" si="1"/>
        <v>0</v>
      </c>
      <c r="Q55" s="142">
        <f t="shared" si="2"/>
        <v>0</v>
      </c>
      <c r="R55" s="142">
        <f t="shared" si="3"/>
        <v>-30</v>
      </c>
      <c r="S55" s="143">
        <v>29</v>
      </c>
      <c r="T55" s="144">
        <f t="shared" si="4"/>
        <v>0</v>
      </c>
      <c r="U55" s="144">
        <f t="shared" si="6"/>
        <v>-33245.100000000006</v>
      </c>
      <c r="V55" s="143">
        <f t="shared" si="5"/>
        <v>129</v>
      </c>
    </row>
    <row r="56" spans="1:22" s="18" customFormat="1" ht="12.75">
      <c r="A56" s="152" t="s">
        <v>213</v>
      </c>
      <c r="B56" s="153">
        <v>42572</v>
      </c>
      <c r="C56" s="152" t="s">
        <v>214</v>
      </c>
      <c r="D56" s="154">
        <v>1130.14</v>
      </c>
      <c r="J56" s="152"/>
      <c r="K56" s="153">
        <v>42611</v>
      </c>
      <c r="L56" s="141"/>
      <c r="M56" s="138">
        <v>42612</v>
      </c>
      <c r="N56" s="138">
        <v>42612</v>
      </c>
      <c r="O56" s="142">
        <f t="shared" si="0"/>
        <v>1</v>
      </c>
      <c r="P56" s="142">
        <f t="shared" si="1"/>
        <v>0</v>
      </c>
      <c r="Q56" s="142">
        <f t="shared" si="2"/>
        <v>1</v>
      </c>
      <c r="R56" s="142">
        <f t="shared" si="3"/>
        <v>-29</v>
      </c>
      <c r="S56" s="143">
        <v>29</v>
      </c>
      <c r="T56" s="144">
        <f t="shared" si="4"/>
        <v>0</v>
      </c>
      <c r="U56" s="144">
        <f t="shared" si="6"/>
        <v>-32774.060000000005</v>
      </c>
      <c r="V56" s="143">
        <f t="shared" si="5"/>
        <v>129</v>
      </c>
    </row>
    <row r="57" spans="1:22" s="18" customFormat="1" ht="12.75">
      <c r="A57" s="152" t="s">
        <v>215</v>
      </c>
      <c r="B57" s="153">
        <v>42559</v>
      </c>
      <c r="C57" s="152" t="s">
        <v>216</v>
      </c>
      <c r="D57" s="154">
        <v>199.65</v>
      </c>
      <c r="J57" s="152"/>
      <c r="K57" s="153">
        <v>42611</v>
      </c>
      <c r="L57" s="141"/>
      <c r="M57" s="138">
        <v>42612</v>
      </c>
      <c r="N57" s="138">
        <v>42612</v>
      </c>
      <c r="O57" s="142">
        <f t="shared" si="0"/>
        <v>1</v>
      </c>
      <c r="P57" s="142">
        <f t="shared" si="1"/>
        <v>0</v>
      </c>
      <c r="Q57" s="142">
        <f t="shared" si="2"/>
        <v>1</v>
      </c>
      <c r="R57" s="142">
        <f t="shared" si="3"/>
        <v>-29</v>
      </c>
      <c r="S57" s="143">
        <v>29</v>
      </c>
      <c r="T57" s="144">
        <f t="shared" si="4"/>
        <v>0</v>
      </c>
      <c r="U57" s="144">
        <f t="shared" si="6"/>
        <v>-5789.85</v>
      </c>
      <c r="V57" s="143">
        <f t="shared" si="5"/>
        <v>129</v>
      </c>
    </row>
    <row r="58" spans="1:22" s="18" customFormat="1" ht="12.75">
      <c r="A58" s="152" t="s">
        <v>217</v>
      </c>
      <c r="B58" s="153">
        <v>42581</v>
      </c>
      <c r="C58" s="152" t="s">
        <v>218</v>
      </c>
      <c r="D58" s="154">
        <v>37.03</v>
      </c>
      <c r="J58" s="152"/>
      <c r="K58" s="153">
        <v>42611</v>
      </c>
      <c r="L58" s="141"/>
      <c r="M58" s="138">
        <v>42612</v>
      </c>
      <c r="N58" s="138">
        <v>42612</v>
      </c>
      <c r="O58" s="142">
        <f t="shared" si="0"/>
        <v>1</v>
      </c>
      <c r="P58" s="142">
        <f t="shared" si="1"/>
        <v>0</v>
      </c>
      <c r="Q58" s="142">
        <f t="shared" si="2"/>
        <v>1</v>
      </c>
      <c r="R58" s="142">
        <f t="shared" si="3"/>
        <v>-29</v>
      </c>
      <c r="S58" s="143">
        <v>21</v>
      </c>
      <c r="T58" s="144">
        <f t="shared" si="4"/>
        <v>0</v>
      </c>
      <c r="U58" s="144">
        <f t="shared" si="6"/>
        <v>-1073.8700000000001</v>
      </c>
      <c r="V58" s="143">
        <f t="shared" si="5"/>
        <v>121</v>
      </c>
    </row>
    <row r="59" spans="1:22" s="18" customFormat="1" ht="12.75">
      <c r="A59" s="152" t="s">
        <v>219</v>
      </c>
      <c r="B59" s="153">
        <v>42587</v>
      </c>
      <c r="C59" s="152" t="s">
        <v>220</v>
      </c>
      <c r="D59" s="154">
        <v>230.67</v>
      </c>
      <c r="J59" s="152"/>
      <c r="K59" s="153">
        <v>42611</v>
      </c>
      <c r="L59" s="141"/>
      <c r="M59" s="138">
        <v>42612</v>
      </c>
      <c r="N59" s="138">
        <v>42612</v>
      </c>
      <c r="O59" s="142">
        <f t="shared" si="0"/>
        <v>1</v>
      </c>
      <c r="P59" s="142">
        <f t="shared" si="1"/>
        <v>0</v>
      </c>
      <c r="Q59" s="142">
        <f t="shared" si="2"/>
        <v>1</v>
      </c>
      <c r="R59" s="142">
        <f t="shared" si="3"/>
        <v>-29</v>
      </c>
      <c r="S59" s="143">
        <v>29</v>
      </c>
      <c r="T59" s="144">
        <f t="shared" si="4"/>
        <v>0</v>
      </c>
      <c r="U59" s="144">
        <f t="shared" si="6"/>
        <v>-6689.429999999999</v>
      </c>
      <c r="V59" s="143">
        <f t="shared" si="5"/>
        <v>129</v>
      </c>
    </row>
    <row r="60" spans="1:22" s="18" customFormat="1" ht="12.75">
      <c r="A60" s="152" t="s">
        <v>221</v>
      </c>
      <c r="B60" s="153">
        <v>42605</v>
      </c>
      <c r="C60" s="152" t="s">
        <v>222</v>
      </c>
      <c r="D60" s="154">
        <v>37.34</v>
      </c>
      <c r="J60" s="152"/>
      <c r="K60" s="153">
        <v>42613</v>
      </c>
      <c r="L60" s="141"/>
      <c r="M60" s="148">
        <v>42614</v>
      </c>
      <c r="N60" s="148">
        <v>42614</v>
      </c>
      <c r="O60" s="142">
        <f t="shared" si="0"/>
        <v>1</v>
      </c>
      <c r="P60" s="142">
        <f t="shared" si="1"/>
        <v>0</v>
      </c>
      <c r="Q60" s="142">
        <f t="shared" si="2"/>
        <v>1</v>
      </c>
      <c r="R60" s="142">
        <f t="shared" si="3"/>
        <v>-29</v>
      </c>
      <c r="S60" s="143">
        <v>22</v>
      </c>
      <c r="T60" s="144">
        <f t="shared" si="4"/>
        <v>0</v>
      </c>
      <c r="U60" s="144">
        <f t="shared" si="6"/>
        <v>-1082.8600000000001</v>
      </c>
      <c r="V60" s="143">
        <f t="shared" si="5"/>
        <v>122</v>
      </c>
    </row>
    <row r="61" spans="1:22" s="18" customFormat="1" ht="12.75">
      <c r="A61" s="152" t="s">
        <v>223</v>
      </c>
      <c r="B61" s="153">
        <v>42592</v>
      </c>
      <c r="C61" s="152" t="s">
        <v>224</v>
      </c>
      <c r="D61" s="154">
        <v>11.98</v>
      </c>
      <c r="J61" s="152"/>
      <c r="K61" s="153">
        <f>M61</f>
        <v>42600</v>
      </c>
      <c r="L61" s="141"/>
      <c r="M61" s="148">
        <v>42600</v>
      </c>
      <c r="N61" s="148">
        <v>42600</v>
      </c>
      <c r="O61" s="142">
        <f t="shared" si="0"/>
        <v>0</v>
      </c>
      <c r="P61" s="142">
        <f t="shared" si="1"/>
        <v>0</v>
      </c>
      <c r="Q61" s="142">
        <f t="shared" si="2"/>
        <v>0</v>
      </c>
      <c r="R61" s="142">
        <f t="shared" si="3"/>
        <v>-30</v>
      </c>
      <c r="S61" s="143">
        <v>22</v>
      </c>
      <c r="T61" s="144">
        <f t="shared" si="4"/>
        <v>0</v>
      </c>
      <c r="U61" s="144">
        <f t="shared" si="6"/>
        <v>-359.40000000000003</v>
      </c>
      <c r="V61" s="143">
        <f t="shared" si="5"/>
        <v>122</v>
      </c>
    </row>
    <row r="62" spans="1:22" s="18" customFormat="1" ht="12.75">
      <c r="A62" s="152" t="s">
        <v>225</v>
      </c>
      <c r="B62" s="153">
        <v>42601</v>
      </c>
      <c r="C62" s="152" t="s">
        <v>226</v>
      </c>
      <c r="D62" s="154">
        <v>139.11</v>
      </c>
      <c r="J62" s="152"/>
      <c r="K62" s="153">
        <f>M62</f>
        <v>42611</v>
      </c>
      <c r="L62" s="141"/>
      <c r="M62" s="138">
        <v>42611</v>
      </c>
      <c r="N62" s="138">
        <v>42611</v>
      </c>
      <c r="O62" s="142">
        <f t="shared" si="0"/>
        <v>0</v>
      </c>
      <c r="P62" s="142">
        <f t="shared" si="1"/>
        <v>0</v>
      </c>
      <c r="Q62" s="142">
        <f t="shared" si="2"/>
        <v>0</v>
      </c>
      <c r="R62" s="142">
        <f t="shared" si="3"/>
        <v>-30</v>
      </c>
      <c r="S62" s="143">
        <v>22</v>
      </c>
      <c r="T62" s="144">
        <f t="shared" si="4"/>
        <v>0</v>
      </c>
      <c r="U62" s="144">
        <f t="shared" si="6"/>
        <v>-4173.3</v>
      </c>
      <c r="V62" s="143">
        <f t="shared" si="5"/>
        <v>122</v>
      </c>
    </row>
    <row r="63" spans="1:22" s="18" customFormat="1" ht="12.75">
      <c r="A63" s="152" t="s">
        <v>227</v>
      </c>
      <c r="B63" s="153">
        <v>42592</v>
      </c>
      <c r="C63" s="152" t="s">
        <v>228</v>
      </c>
      <c r="D63" s="154">
        <v>-11.98</v>
      </c>
      <c r="J63" s="152"/>
      <c r="K63" s="153">
        <f>M63</f>
        <v>42599</v>
      </c>
      <c r="L63" s="141"/>
      <c r="M63" s="138">
        <v>42599</v>
      </c>
      <c r="N63" s="138">
        <v>42599</v>
      </c>
      <c r="O63" s="142">
        <f t="shared" si="0"/>
        <v>0</v>
      </c>
      <c r="P63" s="142">
        <f t="shared" si="1"/>
        <v>0</v>
      </c>
      <c r="Q63" s="142">
        <f t="shared" si="2"/>
        <v>0</v>
      </c>
      <c r="R63" s="142">
        <f t="shared" si="3"/>
        <v>-30</v>
      </c>
      <c r="S63" s="143">
        <v>22</v>
      </c>
      <c r="T63" s="144">
        <f t="shared" si="4"/>
        <v>0</v>
      </c>
      <c r="U63" s="144">
        <f t="shared" si="6"/>
        <v>359.40000000000003</v>
      </c>
      <c r="V63" s="143">
        <f t="shared" si="5"/>
        <v>122</v>
      </c>
    </row>
    <row r="64" spans="1:22" s="18" customFormat="1" ht="12.75">
      <c r="A64" s="152" t="s">
        <v>229</v>
      </c>
      <c r="B64" s="153">
        <v>42591</v>
      </c>
      <c r="C64" s="152" t="s">
        <v>230</v>
      </c>
      <c r="D64" s="154">
        <v>140</v>
      </c>
      <c r="J64" s="152"/>
      <c r="K64" s="153">
        <f>M64</f>
        <v>42599</v>
      </c>
      <c r="L64" s="141"/>
      <c r="M64" s="138">
        <v>42599</v>
      </c>
      <c r="N64" s="138">
        <v>42599</v>
      </c>
      <c r="O64" s="142">
        <f t="shared" si="0"/>
        <v>0</v>
      </c>
      <c r="P64" s="142">
        <f t="shared" si="1"/>
        <v>0</v>
      </c>
      <c r="Q64" s="142">
        <f t="shared" si="2"/>
        <v>0</v>
      </c>
      <c r="R64" s="142">
        <f t="shared" si="3"/>
        <v>-30</v>
      </c>
      <c r="S64" s="143">
        <v>22</v>
      </c>
      <c r="T64" s="144">
        <f t="shared" si="4"/>
        <v>0</v>
      </c>
      <c r="U64" s="144">
        <f t="shared" si="6"/>
        <v>-4200</v>
      </c>
      <c r="V64" s="143">
        <f t="shared" si="5"/>
        <v>122</v>
      </c>
    </row>
    <row r="65" spans="1:22" s="18" customFormat="1" ht="12.75">
      <c r="A65" s="152" t="s">
        <v>231</v>
      </c>
      <c r="B65" s="153">
        <v>42573</v>
      </c>
      <c r="C65" s="152" t="s">
        <v>232</v>
      </c>
      <c r="D65" s="154">
        <v>217.8</v>
      </c>
      <c r="J65" s="152"/>
      <c r="K65" s="153">
        <v>42613</v>
      </c>
      <c r="L65" s="141"/>
      <c r="M65" s="148">
        <v>42628</v>
      </c>
      <c r="N65" s="148">
        <v>42628</v>
      </c>
      <c r="O65" s="142">
        <f t="shared" si="0"/>
        <v>15</v>
      </c>
      <c r="P65" s="142">
        <f t="shared" si="1"/>
        <v>0</v>
      </c>
      <c r="Q65" s="142">
        <f t="shared" si="2"/>
        <v>15</v>
      </c>
      <c r="R65" s="142">
        <f t="shared" si="3"/>
        <v>-15</v>
      </c>
      <c r="S65" s="143">
        <v>29</v>
      </c>
      <c r="T65" s="144">
        <f t="shared" si="4"/>
        <v>0</v>
      </c>
      <c r="U65" s="144">
        <f t="shared" si="6"/>
        <v>-3267</v>
      </c>
      <c r="V65" s="143">
        <f t="shared" si="5"/>
        <v>129</v>
      </c>
    </row>
    <row r="66" spans="1:22" s="18" customFormat="1" ht="12.75">
      <c r="A66" s="152" t="s">
        <v>233</v>
      </c>
      <c r="B66" s="153">
        <v>42598</v>
      </c>
      <c r="C66" s="152" t="s">
        <v>234</v>
      </c>
      <c r="D66" s="154">
        <v>19.76</v>
      </c>
      <c r="J66" s="152"/>
      <c r="K66" s="153">
        <f aca="true" t="shared" si="9" ref="K66:K82">M66</f>
        <v>42606</v>
      </c>
      <c r="L66" s="141"/>
      <c r="M66" s="138">
        <v>42606</v>
      </c>
      <c r="N66" s="138">
        <v>42606</v>
      </c>
      <c r="O66" s="142">
        <f t="shared" si="0"/>
        <v>0</v>
      </c>
      <c r="P66" s="142">
        <f t="shared" si="1"/>
        <v>0</v>
      </c>
      <c r="Q66" s="142">
        <f t="shared" si="2"/>
        <v>0</v>
      </c>
      <c r="R66" s="142">
        <f t="shared" si="3"/>
        <v>-30</v>
      </c>
      <c r="S66" s="143">
        <v>29</v>
      </c>
      <c r="T66" s="144">
        <f t="shared" si="4"/>
        <v>0</v>
      </c>
      <c r="U66" s="144">
        <f t="shared" si="6"/>
        <v>-592.8000000000001</v>
      </c>
      <c r="V66" s="143">
        <f t="shared" si="5"/>
        <v>129</v>
      </c>
    </row>
    <row r="67" spans="1:22" s="18" customFormat="1" ht="12.75">
      <c r="A67" s="152" t="s">
        <v>235</v>
      </c>
      <c r="B67" s="153">
        <v>42598</v>
      </c>
      <c r="C67" s="152" t="s">
        <v>236</v>
      </c>
      <c r="D67" s="154">
        <v>25.63</v>
      </c>
      <c r="J67" s="152"/>
      <c r="K67" s="153">
        <f t="shared" si="9"/>
        <v>42606</v>
      </c>
      <c r="L67" s="141"/>
      <c r="M67" s="138">
        <v>42606</v>
      </c>
      <c r="N67" s="138">
        <v>42606</v>
      </c>
      <c r="O67" s="142">
        <f t="shared" si="0"/>
        <v>0</v>
      </c>
      <c r="P67" s="142">
        <f t="shared" si="1"/>
        <v>0</v>
      </c>
      <c r="Q67" s="142">
        <f t="shared" si="2"/>
        <v>0</v>
      </c>
      <c r="R67" s="142">
        <f t="shared" si="3"/>
        <v>-30</v>
      </c>
      <c r="S67" s="143">
        <v>29</v>
      </c>
      <c r="T67" s="144">
        <f t="shared" si="4"/>
        <v>0</v>
      </c>
      <c r="U67" s="144">
        <f t="shared" si="6"/>
        <v>-768.9</v>
      </c>
      <c r="V67" s="143">
        <f t="shared" si="5"/>
        <v>129</v>
      </c>
    </row>
    <row r="68" spans="1:22" s="18" customFormat="1" ht="12.75">
      <c r="A68" s="152" t="s">
        <v>237</v>
      </c>
      <c r="B68" s="153">
        <v>42593</v>
      </c>
      <c r="C68" s="152" t="s">
        <v>238</v>
      </c>
      <c r="D68" s="154">
        <v>33.75</v>
      </c>
      <c r="J68" s="152"/>
      <c r="K68" s="153">
        <f t="shared" si="9"/>
        <v>42601</v>
      </c>
      <c r="L68" s="141"/>
      <c r="M68" s="138">
        <v>42601</v>
      </c>
      <c r="N68" s="138">
        <v>42601</v>
      </c>
      <c r="O68" s="142">
        <f t="shared" si="0"/>
        <v>0</v>
      </c>
      <c r="P68" s="142">
        <f t="shared" si="1"/>
        <v>0</v>
      </c>
      <c r="Q68" s="142">
        <f t="shared" si="2"/>
        <v>0</v>
      </c>
      <c r="R68" s="142">
        <f t="shared" si="3"/>
        <v>-30</v>
      </c>
      <c r="S68" s="143">
        <v>29</v>
      </c>
      <c r="T68" s="144">
        <f t="shared" si="4"/>
        <v>0</v>
      </c>
      <c r="U68" s="144">
        <f t="shared" si="6"/>
        <v>-1012.5</v>
      </c>
      <c r="V68" s="143">
        <f t="shared" si="5"/>
        <v>129</v>
      </c>
    </row>
    <row r="69" spans="1:22" s="18" customFormat="1" ht="12.75">
      <c r="A69" s="152" t="s">
        <v>239</v>
      </c>
      <c r="B69" s="153">
        <v>42598</v>
      </c>
      <c r="C69" s="152" t="s">
        <v>240</v>
      </c>
      <c r="D69" s="154">
        <v>34.32</v>
      </c>
      <c r="J69" s="152"/>
      <c r="K69" s="153">
        <f t="shared" si="9"/>
        <v>42606</v>
      </c>
      <c r="L69" s="141"/>
      <c r="M69" s="138">
        <v>42606</v>
      </c>
      <c r="N69" s="138">
        <v>42606</v>
      </c>
      <c r="O69" s="142">
        <f t="shared" si="0"/>
        <v>0</v>
      </c>
      <c r="P69" s="142">
        <f t="shared" si="1"/>
        <v>0</v>
      </c>
      <c r="Q69" s="142">
        <f t="shared" si="2"/>
        <v>0</v>
      </c>
      <c r="R69" s="142">
        <f t="shared" si="3"/>
        <v>-30</v>
      </c>
      <c r="S69" s="143">
        <v>29</v>
      </c>
      <c r="T69" s="144">
        <f t="shared" si="4"/>
        <v>0</v>
      </c>
      <c r="U69" s="144">
        <f t="shared" si="6"/>
        <v>-1029.6</v>
      </c>
      <c r="V69" s="143">
        <f t="shared" si="5"/>
        <v>129</v>
      </c>
    </row>
    <row r="70" spans="1:22" s="18" customFormat="1" ht="12.75">
      <c r="A70" s="152" t="s">
        <v>241</v>
      </c>
      <c r="B70" s="153">
        <v>42594</v>
      </c>
      <c r="C70" s="152" t="s">
        <v>242</v>
      </c>
      <c r="D70" s="154">
        <v>414.33</v>
      </c>
      <c r="J70" s="152"/>
      <c r="K70" s="153">
        <f t="shared" si="9"/>
        <v>42598</v>
      </c>
      <c r="L70" s="141"/>
      <c r="M70" s="138">
        <v>42598</v>
      </c>
      <c r="N70" s="138">
        <v>42598</v>
      </c>
      <c r="O70" s="142">
        <f t="shared" si="0"/>
        <v>0</v>
      </c>
      <c r="P70" s="142">
        <f t="shared" si="1"/>
        <v>0</v>
      </c>
      <c r="Q70" s="142">
        <f t="shared" si="2"/>
        <v>0</v>
      </c>
      <c r="R70" s="142">
        <f t="shared" si="3"/>
        <v>-30</v>
      </c>
      <c r="S70" s="143">
        <v>29</v>
      </c>
      <c r="T70" s="144">
        <f t="shared" si="4"/>
        <v>0</v>
      </c>
      <c r="U70" s="144">
        <f t="shared" si="6"/>
        <v>-12429.9</v>
      </c>
      <c r="V70" s="143">
        <f t="shared" si="5"/>
        <v>129</v>
      </c>
    </row>
    <row r="71" spans="1:22" s="18" customFormat="1" ht="12.75">
      <c r="A71" s="152" t="s">
        <v>243</v>
      </c>
      <c r="B71" s="153">
        <v>42604</v>
      </c>
      <c r="C71" s="152" t="s">
        <v>244</v>
      </c>
      <c r="D71" s="154">
        <v>22.12</v>
      </c>
      <c r="J71" s="152"/>
      <c r="K71" s="153">
        <f t="shared" si="9"/>
        <v>42612</v>
      </c>
      <c r="L71" s="141"/>
      <c r="M71" s="138">
        <v>42612</v>
      </c>
      <c r="N71" s="138">
        <v>42612</v>
      </c>
      <c r="O71" s="142">
        <f aca="true" t="shared" si="10" ref="O71:O120">+M71-K71</f>
        <v>0</v>
      </c>
      <c r="P71" s="142">
        <f aca="true" t="shared" si="11" ref="P71:P120">+N71-M71</f>
        <v>0</v>
      </c>
      <c r="Q71" s="142">
        <f aca="true" t="shared" si="12" ref="Q71:Q120">+N71-K71</f>
        <v>0</v>
      </c>
      <c r="R71" s="142">
        <f aca="true" t="shared" si="13" ref="R71:R120">+Q71-30</f>
        <v>-30</v>
      </c>
      <c r="S71" s="143">
        <v>29</v>
      </c>
      <c r="T71" s="144">
        <f aca="true" t="shared" si="14" ref="T71:T120">+P71*D71</f>
        <v>0</v>
      </c>
      <c r="U71" s="144">
        <f t="shared" si="6"/>
        <v>-663.6</v>
      </c>
      <c r="V71" s="143">
        <f aca="true" t="shared" si="15" ref="V71:V132">IF(P71&gt;30,200+S71,100+S71)</f>
        <v>129</v>
      </c>
    </row>
    <row r="72" spans="1:22" s="18" customFormat="1" ht="12.75">
      <c r="A72" s="155" t="s">
        <v>245</v>
      </c>
      <c r="B72" s="156">
        <v>42584</v>
      </c>
      <c r="C72" s="155" t="s">
        <v>246</v>
      </c>
      <c r="D72" s="154">
        <v>-5.76</v>
      </c>
      <c r="J72" s="155"/>
      <c r="K72" s="156">
        <f t="shared" si="9"/>
        <v>42592</v>
      </c>
      <c r="L72" s="141"/>
      <c r="M72" s="138">
        <v>42592</v>
      </c>
      <c r="N72" s="138">
        <v>42592</v>
      </c>
      <c r="O72" s="142">
        <f t="shared" si="10"/>
        <v>0</v>
      </c>
      <c r="P72" s="142">
        <f t="shared" si="11"/>
        <v>0</v>
      </c>
      <c r="Q72" s="142">
        <f t="shared" si="12"/>
        <v>0</v>
      </c>
      <c r="R72" s="142">
        <f t="shared" si="13"/>
        <v>-30</v>
      </c>
      <c r="S72" s="143">
        <v>29</v>
      </c>
      <c r="T72" s="144">
        <f t="shared" si="14"/>
        <v>0</v>
      </c>
      <c r="U72" s="144">
        <f aca="true" t="shared" si="16" ref="U72:U120">+R72*D72</f>
        <v>172.79999999999998</v>
      </c>
      <c r="V72" s="143">
        <f t="shared" si="15"/>
        <v>129</v>
      </c>
    </row>
    <row r="73" spans="1:22" s="18" customFormat="1" ht="12.75">
      <c r="A73" s="152" t="s">
        <v>247</v>
      </c>
      <c r="B73" s="153">
        <v>42598</v>
      </c>
      <c r="C73" s="152" t="s">
        <v>248</v>
      </c>
      <c r="D73" s="154">
        <v>384.73</v>
      </c>
      <c r="J73" s="152"/>
      <c r="K73" s="153">
        <f t="shared" si="9"/>
        <v>42606</v>
      </c>
      <c r="L73" s="141"/>
      <c r="M73" s="138">
        <v>42606</v>
      </c>
      <c r="N73" s="138">
        <v>42606</v>
      </c>
      <c r="O73" s="142">
        <f t="shared" si="10"/>
        <v>0</v>
      </c>
      <c r="P73" s="142">
        <f t="shared" si="11"/>
        <v>0</v>
      </c>
      <c r="Q73" s="142">
        <f t="shared" si="12"/>
        <v>0</v>
      </c>
      <c r="R73" s="142">
        <f t="shared" si="13"/>
        <v>-30</v>
      </c>
      <c r="S73" s="143">
        <v>22</v>
      </c>
      <c r="T73" s="144">
        <f t="shared" si="14"/>
        <v>0</v>
      </c>
      <c r="U73" s="144">
        <f t="shared" si="16"/>
        <v>-11541.900000000001</v>
      </c>
      <c r="V73" s="143">
        <f t="shared" si="15"/>
        <v>122</v>
      </c>
    </row>
    <row r="74" spans="1:22" s="18" customFormat="1" ht="12.75">
      <c r="A74" s="152" t="s">
        <v>249</v>
      </c>
      <c r="B74" s="153">
        <v>42555</v>
      </c>
      <c r="C74" s="152" t="s">
        <v>250</v>
      </c>
      <c r="D74" s="154">
        <v>495.9</v>
      </c>
      <c r="J74" s="152"/>
      <c r="K74" s="153">
        <f t="shared" si="9"/>
        <v>42570</v>
      </c>
      <c r="L74" s="141"/>
      <c r="M74" s="138">
        <v>42570</v>
      </c>
      <c r="N74" s="138">
        <v>42570</v>
      </c>
      <c r="O74" s="142">
        <f t="shared" si="10"/>
        <v>0</v>
      </c>
      <c r="P74" s="142">
        <f t="shared" si="11"/>
        <v>0</v>
      </c>
      <c r="Q74" s="142">
        <f t="shared" si="12"/>
        <v>0</v>
      </c>
      <c r="R74" s="142">
        <f t="shared" si="13"/>
        <v>-30</v>
      </c>
      <c r="S74" s="143">
        <v>29</v>
      </c>
      <c r="T74" s="144">
        <f t="shared" si="14"/>
        <v>0</v>
      </c>
      <c r="U74" s="144">
        <f t="shared" si="16"/>
        <v>-14877</v>
      </c>
      <c r="V74" s="143">
        <f t="shared" si="15"/>
        <v>129</v>
      </c>
    </row>
    <row r="75" spans="1:22" s="18" customFormat="1" ht="12.75">
      <c r="A75" s="155" t="s">
        <v>251</v>
      </c>
      <c r="B75" s="156">
        <v>42584</v>
      </c>
      <c r="C75" s="155" t="s">
        <v>252</v>
      </c>
      <c r="D75" s="154">
        <v>-34.74</v>
      </c>
      <c r="J75" s="155"/>
      <c r="K75" s="156">
        <f t="shared" si="9"/>
        <v>42599</v>
      </c>
      <c r="L75" s="141"/>
      <c r="M75" s="138">
        <v>42599</v>
      </c>
      <c r="N75" s="138">
        <v>42599</v>
      </c>
      <c r="O75" s="142">
        <f t="shared" si="10"/>
        <v>0</v>
      </c>
      <c r="P75" s="142">
        <f t="shared" si="11"/>
        <v>0</v>
      </c>
      <c r="Q75" s="142">
        <f t="shared" si="12"/>
        <v>0</v>
      </c>
      <c r="R75" s="142">
        <f t="shared" si="13"/>
        <v>-30</v>
      </c>
      <c r="S75" s="143">
        <v>29</v>
      </c>
      <c r="T75" s="144">
        <f t="shared" si="14"/>
        <v>0</v>
      </c>
      <c r="U75" s="144">
        <f t="shared" si="16"/>
        <v>1042.2</v>
      </c>
      <c r="V75" s="143">
        <f t="shared" si="15"/>
        <v>129</v>
      </c>
    </row>
    <row r="76" spans="1:22" s="18" customFormat="1" ht="12.75">
      <c r="A76" s="152" t="s">
        <v>253</v>
      </c>
      <c r="B76" s="153">
        <v>42555</v>
      </c>
      <c r="C76" s="152" t="s">
        <v>254</v>
      </c>
      <c r="D76" s="154">
        <v>478.44</v>
      </c>
      <c r="J76" s="152"/>
      <c r="K76" s="153">
        <f t="shared" si="9"/>
        <v>42570</v>
      </c>
      <c r="L76" s="141"/>
      <c r="M76" s="138">
        <v>42570</v>
      </c>
      <c r="N76" s="138">
        <v>42570</v>
      </c>
      <c r="O76" s="142">
        <f t="shared" si="10"/>
        <v>0</v>
      </c>
      <c r="P76" s="142">
        <f t="shared" si="11"/>
        <v>0</v>
      </c>
      <c r="Q76" s="142">
        <f t="shared" si="12"/>
        <v>0</v>
      </c>
      <c r="R76" s="142">
        <f t="shared" si="13"/>
        <v>-30</v>
      </c>
      <c r="S76" s="143">
        <v>29</v>
      </c>
      <c r="T76" s="144">
        <f t="shared" si="14"/>
        <v>0</v>
      </c>
      <c r="U76" s="144">
        <f t="shared" si="16"/>
        <v>-14353.2</v>
      </c>
      <c r="V76" s="143">
        <f t="shared" si="15"/>
        <v>129</v>
      </c>
    </row>
    <row r="77" spans="1:22" s="18" customFormat="1" ht="12.75">
      <c r="A77" s="152" t="s">
        <v>255</v>
      </c>
      <c r="B77" s="153">
        <v>42582</v>
      </c>
      <c r="C77" s="152" t="s">
        <v>256</v>
      </c>
      <c r="D77" s="154">
        <v>1668.35</v>
      </c>
      <c r="J77" s="152"/>
      <c r="K77" s="153">
        <f t="shared" si="9"/>
        <v>42584</v>
      </c>
      <c r="L77" s="141"/>
      <c r="M77" s="138">
        <v>42584</v>
      </c>
      <c r="N77" s="138">
        <v>42584</v>
      </c>
      <c r="O77" s="142">
        <f t="shared" si="10"/>
        <v>0</v>
      </c>
      <c r="P77" s="142">
        <f t="shared" si="11"/>
        <v>0</v>
      </c>
      <c r="Q77" s="142">
        <f t="shared" si="12"/>
        <v>0</v>
      </c>
      <c r="R77" s="142">
        <f t="shared" si="13"/>
        <v>-30</v>
      </c>
      <c r="S77" s="143">
        <v>29</v>
      </c>
      <c r="T77" s="144">
        <f t="shared" si="14"/>
        <v>0</v>
      </c>
      <c r="U77" s="144">
        <f t="shared" si="16"/>
        <v>-50050.5</v>
      </c>
      <c r="V77" s="143">
        <f t="shared" si="15"/>
        <v>129</v>
      </c>
    </row>
    <row r="78" spans="1:22" s="18" customFormat="1" ht="12.75">
      <c r="A78" s="152" t="s">
        <v>257</v>
      </c>
      <c r="B78" s="153">
        <v>42582</v>
      </c>
      <c r="C78" s="152" t="s">
        <v>258</v>
      </c>
      <c r="D78" s="154">
        <v>165.9</v>
      </c>
      <c r="J78" s="152"/>
      <c r="K78" s="153">
        <f t="shared" si="9"/>
        <v>42590</v>
      </c>
      <c r="L78" s="141"/>
      <c r="M78" s="138">
        <v>42590</v>
      </c>
      <c r="N78" s="138">
        <v>42590</v>
      </c>
      <c r="O78" s="142">
        <f t="shared" si="10"/>
        <v>0</v>
      </c>
      <c r="P78" s="142">
        <f t="shared" si="11"/>
        <v>0</v>
      </c>
      <c r="Q78" s="142">
        <f t="shared" si="12"/>
        <v>0</v>
      </c>
      <c r="R78" s="142">
        <f t="shared" si="13"/>
        <v>-30</v>
      </c>
      <c r="S78" s="143">
        <v>29</v>
      </c>
      <c r="T78" s="144">
        <f t="shared" si="14"/>
        <v>0</v>
      </c>
      <c r="U78" s="144">
        <f t="shared" si="16"/>
        <v>-4977</v>
      </c>
      <c r="V78" s="143">
        <f t="shared" si="15"/>
        <v>129</v>
      </c>
    </row>
    <row r="79" spans="1:22" s="18" customFormat="1" ht="12.75">
      <c r="A79" s="152" t="s">
        <v>259</v>
      </c>
      <c r="B79" s="153">
        <v>42565</v>
      </c>
      <c r="C79" s="152" t="s">
        <v>260</v>
      </c>
      <c r="D79" s="154">
        <v>373.22</v>
      </c>
      <c r="J79" s="152"/>
      <c r="K79" s="153">
        <f t="shared" si="9"/>
        <v>42569</v>
      </c>
      <c r="L79" s="141"/>
      <c r="M79" s="138">
        <v>42569</v>
      </c>
      <c r="N79" s="138">
        <v>42569</v>
      </c>
      <c r="O79" s="142">
        <f t="shared" si="10"/>
        <v>0</v>
      </c>
      <c r="P79" s="142">
        <f t="shared" si="11"/>
        <v>0</v>
      </c>
      <c r="Q79" s="142">
        <f t="shared" si="12"/>
        <v>0</v>
      </c>
      <c r="R79" s="142">
        <f t="shared" si="13"/>
        <v>-30</v>
      </c>
      <c r="S79" s="143">
        <v>29</v>
      </c>
      <c r="T79" s="144">
        <f t="shared" si="14"/>
        <v>0</v>
      </c>
      <c r="U79" s="144">
        <f t="shared" si="16"/>
        <v>-11196.6</v>
      </c>
      <c r="V79" s="143">
        <f t="shared" si="15"/>
        <v>129</v>
      </c>
    </row>
    <row r="80" spans="1:22" s="18" customFormat="1" ht="12.75">
      <c r="A80" s="152" t="s">
        <v>261</v>
      </c>
      <c r="B80" s="153">
        <v>42565</v>
      </c>
      <c r="C80" s="152" t="s">
        <v>262</v>
      </c>
      <c r="D80" s="154">
        <v>349.61</v>
      </c>
      <c r="J80" s="152"/>
      <c r="K80" s="153">
        <f t="shared" si="9"/>
        <v>42569</v>
      </c>
      <c r="L80" s="141"/>
      <c r="M80" s="138">
        <v>42569</v>
      </c>
      <c r="N80" s="138">
        <v>42569</v>
      </c>
      <c r="O80" s="142">
        <f t="shared" si="10"/>
        <v>0</v>
      </c>
      <c r="P80" s="142">
        <f t="shared" si="11"/>
        <v>0</v>
      </c>
      <c r="Q80" s="142">
        <f t="shared" si="12"/>
        <v>0</v>
      </c>
      <c r="R80" s="142">
        <f t="shared" si="13"/>
        <v>-30</v>
      </c>
      <c r="S80" s="143">
        <v>29</v>
      </c>
      <c r="T80" s="144">
        <f t="shared" si="14"/>
        <v>0</v>
      </c>
      <c r="U80" s="144">
        <f t="shared" si="16"/>
        <v>-10488.300000000001</v>
      </c>
      <c r="V80" s="143">
        <f t="shared" si="15"/>
        <v>129</v>
      </c>
    </row>
    <row r="81" spans="1:22" s="18" customFormat="1" ht="12.75">
      <c r="A81" s="152" t="s">
        <v>263</v>
      </c>
      <c r="B81" s="153">
        <v>42565</v>
      </c>
      <c r="C81" s="152" t="s">
        <v>264</v>
      </c>
      <c r="D81" s="154">
        <v>400.23</v>
      </c>
      <c r="J81" s="152"/>
      <c r="K81" s="153">
        <f t="shared" si="9"/>
        <v>42569</v>
      </c>
      <c r="L81" s="141"/>
      <c r="M81" s="138">
        <v>42569</v>
      </c>
      <c r="N81" s="138">
        <v>42569</v>
      </c>
      <c r="O81" s="142">
        <f t="shared" si="10"/>
        <v>0</v>
      </c>
      <c r="P81" s="142">
        <f t="shared" si="11"/>
        <v>0</v>
      </c>
      <c r="Q81" s="142">
        <f t="shared" si="12"/>
        <v>0</v>
      </c>
      <c r="R81" s="142">
        <f t="shared" si="13"/>
        <v>-30</v>
      </c>
      <c r="S81" s="143">
        <v>29</v>
      </c>
      <c r="T81" s="144">
        <f t="shared" si="14"/>
        <v>0</v>
      </c>
      <c r="U81" s="144">
        <f t="shared" si="16"/>
        <v>-12006.900000000001</v>
      </c>
      <c r="V81" s="143">
        <f t="shared" si="15"/>
        <v>129</v>
      </c>
    </row>
    <row r="82" spans="1:22" s="18" customFormat="1" ht="12.75">
      <c r="A82" s="152" t="s">
        <v>265</v>
      </c>
      <c r="B82" s="153">
        <v>42594</v>
      </c>
      <c r="C82" s="152" t="s">
        <v>266</v>
      </c>
      <c r="D82" s="154">
        <v>375.02</v>
      </c>
      <c r="J82" s="152"/>
      <c r="K82" s="153">
        <f t="shared" si="9"/>
        <v>42598</v>
      </c>
      <c r="L82" s="141"/>
      <c r="M82" s="138">
        <v>42598</v>
      </c>
      <c r="N82" s="138">
        <v>42598</v>
      </c>
      <c r="O82" s="142">
        <f t="shared" si="10"/>
        <v>0</v>
      </c>
      <c r="P82" s="142">
        <f t="shared" si="11"/>
        <v>0</v>
      </c>
      <c r="Q82" s="142">
        <f t="shared" si="12"/>
        <v>0</v>
      </c>
      <c r="R82" s="142">
        <f t="shared" si="13"/>
        <v>-30</v>
      </c>
      <c r="S82" s="143">
        <v>29</v>
      </c>
      <c r="T82" s="144">
        <f t="shared" si="14"/>
        <v>0</v>
      </c>
      <c r="U82" s="144">
        <f t="shared" si="16"/>
        <v>-11250.599999999999</v>
      </c>
      <c r="V82" s="143">
        <f t="shared" si="15"/>
        <v>129</v>
      </c>
    </row>
    <row r="83" spans="1:22" s="18" customFormat="1" ht="12.75">
      <c r="A83" s="152" t="s">
        <v>267</v>
      </c>
      <c r="B83" s="153">
        <v>42594</v>
      </c>
      <c r="C83" s="152" t="s">
        <v>268</v>
      </c>
      <c r="D83" s="154">
        <v>1000</v>
      </c>
      <c r="J83" s="152"/>
      <c r="K83" s="153">
        <v>42620</v>
      </c>
      <c r="L83" s="141"/>
      <c r="M83" s="138">
        <v>42628</v>
      </c>
      <c r="N83" s="138">
        <v>42628</v>
      </c>
      <c r="O83" s="142">
        <f t="shared" si="10"/>
        <v>8</v>
      </c>
      <c r="P83" s="142">
        <f t="shared" si="11"/>
        <v>0</v>
      </c>
      <c r="Q83" s="142">
        <f t="shared" si="12"/>
        <v>8</v>
      </c>
      <c r="R83" s="142">
        <f t="shared" si="13"/>
        <v>-22</v>
      </c>
      <c r="S83" s="143">
        <v>29</v>
      </c>
      <c r="T83" s="144">
        <f t="shared" si="14"/>
        <v>0</v>
      </c>
      <c r="U83" s="144">
        <f t="shared" si="16"/>
        <v>-22000</v>
      </c>
      <c r="V83" s="143">
        <f t="shared" si="15"/>
        <v>129</v>
      </c>
    </row>
    <row r="84" spans="1:22" s="18" customFormat="1" ht="12.75">
      <c r="A84" s="152" t="s">
        <v>269</v>
      </c>
      <c r="B84" s="153">
        <v>42582</v>
      </c>
      <c r="C84" s="152" t="s">
        <v>270</v>
      </c>
      <c r="D84" s="154">
        <v>119.19</v>
      </c>
      <c r="J84" s="152"/>
      <c r="K84" s="153">
        <f>M84</f>
        <v>42584</v>
      </c>
      <c r="L84" s="141"/>
      <c r="M84" s="138">
        <v>42584</v>
      </c>
      <c r="N84" s="138">
        <v>42584</v>
      </c>
      <c r="O84" s="142">
        <f t="shared" si="10"/>
        <v>0</v>
      </c>
      <c r="P84" s="142">
        <f t="shared" si="11"/>
        <v>0</v>
      </c>
      <c r="Q84" s="142">
        <f t="shared" si="12"/>
        <v>0</v>
      </c>
      <c r="R84" s="142">
        <f t="shared" si="13"/>
        <v>-30</v>
      </c>
      <c r="S84" s="143">
        <v>29</v>
      </c>
      <c r="T84" s="144">
        <f t="shared" si="14"/>
        <v>0</v>
      </c>
      <c r="U84" s="144">
        <f t="shared" si="16"/>
        <v>-3575.7</v>
      </c>
      <c r="V84" s="143">
        <f t="shared" si="15"/>
        <v>129</v>
      </c>
    </row>
    <row r="85" spans="1:22" s="18" customFormat="1" ht="12.75">
      <c r="A85" s="152" t="s">
        <v>271</v>
      </c>
      <c r="B85" s="153">
        <v>42592</v>
      </c>
      <c r="C85" s="152" t="s">
        <v>272</v>
      </c>
      <c r="D85" s="154">
        <v>447.7</v>
      </c>
      <c r="J85" s="152"/>
      <c r="K85" s="153">
        <v>42620</v>
      </c>
      <c r="L85" s="141"/>
      <c r="M85" s="138">
        <v>42628</v>
      </c>
      <c r="N85" s="138">
        <v>42628</v>
      </c>
      <c r="O85" s="142">
        <f t="shared" si="10"/>
        <v>8</v>
      </c>
      <c r="P85" s="142">
        <f t="shared" si="11"/>
        <v>0</v>
      </c>
      <c r="Q85" s="142">
        <f t="shared" si="12"/>
        <v>8</v>
      </c>
      <c r="R85" s="142">
        <f t="shared" si="13"/>
        <v>-22</v>
      </c>
      <c r="S85" s="143">
        <v>29</v>
      </c>
      <c r="T85" s="144">
        <f t="shared" si="14"/>
        <v>0</v>
      </c>
      <c r="U85" s="144">
        <f t="shared" si="16"/>
        <v>-9849.4</v>
      </c>
      <c r="V85" s="143">
        <f t="shared" si="15"/>
        <v>129</v>
      </c>
    </row>
    <row r="86" spans="1:22" s="18" customFormat="1" ht="12.75">
      <c r="A86" s="152" t="s">
        <v>273</v>
      </c>
      <c r="B86" s="153">
        <v>42614</v>
      </c>
      <c r="C86" s="152" t="s">
        <v>274</v>
      </c>
      <c r="D86" s="154">
        <v>-6.75</v>
      </c>
      <c r="J86" s="152"/>
      <c r="K86" s="153">
        <v>42621</v>
      </c>
      <c r="L86" s="141"/>
      <c r="M86" s="138">
        <v>42629</v>
      </c>
      <c r="N86" s="138">
        <v>42629</v>
      </c>
      <c r="O86" s="142">
        <f t="shared" si="10"/>
        <v>8</v>
      </c>
      <c r="P86" s="142">
        <f t="shared" si="11"/>
        <v>0</v>
      </c>
      <c r="Q86" s="142">
        <f t="shared" si="12"/>
        <v>8</v>
      </c>
      <c r="R86" s="142">
        <f t="shared" si="13"/>
        <v>-22</v>
      </c>
      <c r="S86" s="143">
        <v>29</v>
      </c>
      <c r="T86" s="144">
        <f t="shared" si="14"/>
        <v>0</v>
      </c>
      <c r="U86" s="144">
        <f t="shared" si="16"/>
        <v>148.5</v>
      </c>
      <c r="V86" s="143">
        <f t="shared" si="15"/>
        <v>129</v>
      </c>
    </row>
    <row r="87" spans="1:22" s="18" customFormat="1" ht="12.75">
      <c r="A87" s="152" t="s">
        <v>275</v>
      </c>
      <c r="B87" s="153">
        <v>42613</v>
      </c>
      <c r="C87" s="152" t="s">
        <v>276</v>
      </c>
      <c r="D87" s="154">
        <v>84.95</v>
      </c>
      <c r="J87" s="152"/>
      <c r="K87" s="153">
        <v>42621</v>
      </c>
      <c r="L87" s="141"/>
      <c r="M87" s="138">
        <v>42621</v>
      </c>
      <c r="N87" s="138">
        <v>42621</v>
      </c>
      <c r="O87" s="142">
        <f t="shared" si="10"/>
        <v>0</v>
      </c>
      <c r="P87" s="142">
        <f t="shared" si="11"/>
        <v>0</v>
      </c>
      <c r="Q87" s="142">
        <f t="shared" si="12"/>
        <v>0</v>
      </c>
      <c r="R87" s="142">
        <f t="shared" si="13"/>
        <v>-30</v>
      </c>
      <c r="S87" s="143">
        <v>29</v>
      </c>
      <c r="T87" s="144">
        <f t="shared" si="14"/>
        <v>0</v>
      </c>
      <c r="U87" s="144">
        <f t="shared" si="16"/>
        <v>-2548.5</v>
      </c>
      <c r="V87" s="143">
        <f t="shared" si="15"/>
        <v>129</v>
      </c>
    </row>
    <row r="88" spans="1:22" s="18" customFormat="1" ht="12.75">
      <c r="A88" s="152" t="s">
        <v>277</v>
      </c>
      <c r="B88" s="153">
        <v>42613</v>
      </c>
      <c r="C88" s="152" t="s">
        <v>278</v>
      </c>
      <c r="D88" s="154">
        <v>1807.5</v>
      </c>
      <c r="J88" s="152"/>
      <c r="K88" s="153">
        <f>M88</f>
        <v>42614</v>
      </c>
      <c r="L88" s="141"/>
      <c r="M88" s="138">
        <v>42614</v>
      </c>
      <c r="N88" s="138">
        <v>42614</v>
      </c>
      <c r="O88" s="142">
        <f t="shared" si="10"/>
        <v>0</v>
      </c>
      <c r="P88" s="142">
        <f t="shared" si="11"/>
        <v>0</v>
      </c>
      <c r="Q88" s="142">
        <f t="shared" si="12"/>
        <v>0</v>
      </c>
      <c r="R88" s="142">
        <f t="shared" si="13"/>
        <v>-30</v>
      </c>
      <c r="S88" s="143">
        <v>29</v>
      </c>
      <c r="T88" s="144">
        <f t="shared" si="14"/>
        <v>0</v>
      </c>
      <c r="U88" s="144">
        <f t="shared" si="16"/>
        <v>-54225</v>
      </c>
      <c r="V88" s="143">
        <f t="shared" si="15"/>
        <v>129</v>
      </c>
    </row>
    <row r="89" spans="1:22" s="18" customFormat="1" ht="12.75">
      <c r="A89" s="152" t="s">
        <v>279</v>
      </c>
      <c r="B89" s="153">
        <v>42569</v>
      </c>
      <c r="C89" s="152" t="s">
        <v>280</v>
      </c>
      <c r="D89" s="154">
        <v>65.61</v>
      </c>
      <c r="J89" s="152"/>
      <c r="K89" s="153">
        <f>M89</f>
        <v>42591</v>
      </c>
      <c r="L89" s="141"/>
      <c r="M89" s="138">
        <v>42591</v>
      </c>
      <c r="N89" s="138">
        <v>42591</v>
      </c>
      <c r="O89" s="142">
        <f t="shared" si="10"/>
        <v>0</v>
      </c>
      <c r="P89" s="142">
        <f t="shared" si="11"/>
        <v>0</v>
      </c>
      <c r="Q89" s="142">
        <f t="shared" si="12"/>
        <v>0</v>
      </c>
      <c r="R89" s="142">
        <f t="shared" si="13"/>
        <v>-30</v>
      </c>
      <c r="S89" s="143">
        <v>29</v>
      </c>
      <c r="T89" s="144">
        <f t="shared" si="14"/>
        <v>0</v>
      </c>
      <c r="U89" s="144">
        <f t="shared" si="16"/>
        <v>-1968.3</v>
      </c>
      <c r="V89" s="143">
        <f t="shared" si="15"/>
        <v>129</v>
      </c>
    </row>
    <row r="90" spans="1:22" s="18" customFormat="1" ht="12.75">
      <c r="A90" s="152" t="s">
        <v>281</v>
      </c>
      <c r="B90" s="153">
        <v>42598</v>
      </c>
      <c r="C90" s="152" t="s">
        <v>282</v>
      </c>
      <c r="D90" s="154">
        <v>287.81</v>
      </c>
      <c r="J90" s="152"/>
      <c r="K90" s="153">
        <f>M90</f>
        <v>42600</v>
      </c>
      <c r="L90" s="141"/>
      <c r="M90" s="138">
        <v>42600</v>
      </c>
      <c r="N90" s="138">
        <v>42600</v>
      </c>
      <c r="O90" s="142">
        <f t="shared" si="10"/>
        <v>0</v>
      </c>
      <c r="P90" s="142">
        <f t="shared" si="11"/>
        <v>0</v>
      </c>
      <c r="Q90" s="142">
        <f t="shared" si="12"/>
        <v>0</v>
      </c>
      <c r="R90" s="142">
        <f t="shared" si="13"/>
        <v>-30</v>
      </c>
      <c r="S90" s="143">
        <v>29</v>
      </c>
      <c r="T90" s="144">
        <f t="shared" si="14"/>
        <v>0</v>
      </c>
      <c r="U90" s="144">
        <f t="shared" si="16"/>
        <v>-8634.3</v>
      </c>
      <c r="V90" s="143">
        <f t="shared" si="15"/>
        <v>129</v>
      </c>
    </row>
    <row r="91" spans="1:22" s="18" customFormat="1" ht="12.75">
      <c r="A91" s="152" t="s">
        <v>283</v>
      </c>
      <c r="B91" s="153">
        <v>42599</v>
      </c>
      <c r="C91" s="152" t="s">
        <v>284</v>
      </c>
      <c r="D91" s="154">
        <v>502.9</v>
      </c>
      <c r="J91" s="152"/>
      <c r="K91" s="153">
        <f>M91</f>
        <v>42601</v>
      </c>
      <c r="L91" s="141"/>
      <c r="M91" s="138">
        <v>42601</v>
      </c>
      <c r="N91" s="138">
        <v>42601</v>
      </c>
      <c r="O91" s="142">
        <f t="shared" si="10"/>
        <v>0</v>
      </c>
      <c r="P91" s="142">
        <f t="shared" si="11"/>
        <v>0</v>
      </c>
      <c r="Q91" s="142">
        <f t="shared" si="12"/>
        <v>0</v>
      </c>
      <c r="R91" s="142">
        <f t="shared" si="13"/>
        <v>-30</v>
      </c>
      <c r="S91" s="143">
        <v>29</v>
      </c>
      <c r="T91" s="144">
        <f t="shared" si="14"/>
        <v>0</v>
      </c>
      <c r="U91" s="144">
        <f t="shared" si="16"/>
        <v>-15087</v>
      </c>
      <c r="V91" s="143">
        <f t="shared" si="15"/>
        <v>129</v>
      </c>
    </row>
    <row r="92" spans="1:22" s="18" customFormat="1" ht="12.75">
      <c r="A92" s="152" t="s">
        <v>285</v>
      </c>
      <c r="B92" s="153">
        <v>42598</v>
      </c>
      <c r="C92" s="152" t="s">
        <v>286</v>
      </c>
      <c r="D92" s="154">
        <v>336.62</v>
      </c>
      <c r="J92" s="152"/>
      <c r="K92" s="153">
        <f>M92</f>
        <v>42600</v>
      </c>
      <c r="L92" s="141"/>
      <c r="M92" s="138">
        <v>42600</v>
      </c>
      <c r="N92" s="138">
        <v>42600</v>
      </c>
      <c r="O92" s="142">
        <f t="shared" si="10"/>
        <v>0</v>
      </c>
      <c r="P92" s="142">
        <f t="shared" si="11"/>
        <v>0</v>
      </c>
      <c r="Q92" s="142">
        <f t="shared" si="12"/>
        <v>0</v>
      </c>
      <c r="R92" s="142">
        <f t="shared" si="13"/>
        <v>-30</v>
      </c>
      <c r="S92" s="143">
        <v>29</v>
      </c>
      <c r="T92" s="144">
        <f t="shared" si="14"/>
        <v>0</v>
      </c>
      <c r="U92" s="144">
        <f t="shared" si="16"/>
        <v>-10098.6</v>
      </c>
      <c r="V92" s="143">
        <f t="shared" si="15"/>
        <v>129</v>
      </c>
    </row>
    <row r="93" spans="1:22" s="18" customFormat="1" ht="12.75">
      <c r="A93" s="152" t="s">
        <v>287</v>
      </c>
      <c r="B93" s="153">
        <v>42612</v>
      </c>
      <c r="C93" s="152" t="s">
        <v>288</v>
      </c>
      <c r="D93" s="154">
        <v>151.25</v>
      </c>
      <c r="J93" s="152"/>
      <c r="K93" s="153">
        <v>42621</v>
      </c>
      <c r="L93" s="141"/>
      <c r="M93" s="138">
        <v>42628</v>
      </c>
      <c r="N93" s="138">
        <v>42628</v>
      </c>
      <c r="O93" s="142">
        <f t="shared" si="10"/>
        <v>7</v>
      </c>
      <c r="P93" s="142">
        <f t="shared" si="11"/>
        <v>0</v>
      </c>
      <c r="Q93" s="142">
        <f t="shared" si="12"/>
        <v>7</v>
      </c>
      <c r="R93" s="142">
        <f t="shared" si="13"/>
        <v>-23</v>
      </c>
      <c r="S93" s="143">
        <v>21</v>
      </c>
      <c r="T93" s="144">
        <f t="shared" si="14"/>
        <v>0</v>
      </c>
      <c r="U93" s="144">
        <f t="shared" si="16"/>
        <v>-3478.75</v>
      </c>
      <c r="V93" s="143">
        <f t="shared" si="15"/>
        <v>121</v>
      </c>
    </row>
    <row r="94" spans="1:22" s="18" customFormat="1" ht="12.75">
      <c r="A94" s="152" t="s">
        <v>289</v>
      </c>
      <c r="B94" s="153">
        <v>42613</v>
      </c>
      <c r="C94" s="152" t="s">
        <v>290</v>
      </c>
      <c r="D94" s="154">
        <v>1108.17</v>
      </c>
      <c r="J94" s="152"/>
      <c r="K94" s="153">
        <f>M94</f>
        <v>42614</v>
      </c>
      <c r="L94" s="141"/>
      <c r="M94" s="138">
        <v>42614</v>
      </c>
      <c r="N94" s="138">
        <v>42614</v>
      </c>
      <c r="O94" s="142">
        <f t="shared" si="10"/>
        <v>0</v>
      </c>
      <c r="P94" s="142">
        <f t="shared" si="11"/>
        <v>0</v>
      </c>
      <c r="Q94" s="142">
        <f t="shared" si="12"/>
        <v>0</v>
      </c>
      <c r="R94" s="142">
        <f t="shared" si="13"/>
        <v>-30</v>
      </c>
      <c r="S94" s="143">
        <v>29</v>
      </c>
      <c r="T94" s="144">
        <f t="shared" si="14"/>
        <v>0</v>
      </c>
      <c r="U94" s="144">
        <f t="shared" si="16"/>
        <v>-33245.100000000006</v>
      </c>
      <c r="V94" s="143">
        <f t="shared" si="15"/>
        <v>129</v>
      </c>
    </row>
    <row r="95" spans="1:22" s="18" customFormat="1" ht="12.75">
      <c r="A95" s="152" t="s">
        <v>291</v>
      </c>
      <c r="B95" s="153">
        <v>42607</v>
      </c>
      <c r="C95" s="152" t="s">
        <v>292</v>
      </c>
      <c r="D95" s="154">
        <v>1001.66</v>
      </c>
      <c r="J95" s="152"/>
      <c r="K95" s="153">
        <v>42621</v>
      </c>
      <c r="L95" s="141"/>
      <c r="M95" s="138">
        <v>42639</v>
      </c>
      <c r="N95" s="138">
        <v>42639</v>
      </c>
      <c r="O95" s="142">
        <f t="shared" si="10"/>
        <v>18</v>
      </c>
      <c r="P95" s="142">
        <f t="shared" si="11"/>
        <v>0</v>
      </c>
      <c r="Q95" s="142">
        <f t="shared" si="12"/>
        <v>18</v>
      </c>
      <c r="R95" s="142">
        <f t="shared" si="13"/>
        <v>-12</v>
      </c>
      <c r="S95" s="143">
        <v>21</v>
      </c>
      <c r="T95" s="144">
        <f t="shared" si="14"/>
        <v>0</v>
      </c>
      <c r="U95" s="144">
        <f t="shared" si="16"/>
        <v>-12019.92</v>
      </c>
      <c r="V95" s="143">
        <f t="shared" si="15"/>
        <v>121</v>
      </c>
    </row>
    <row r="96" spans="1:22" s="18" customFormat="1" ht="12.75">
      <c r="A96" s="152" t="s">
        <v>293</v>
      </c>
      <c r="B96" s="153">
        <v>42611</v>
      </c>
      <c r="C96" s="152" t="s">
        <v>294</v>
      </c>
      <c r="D96" s="154">
        <v>45.85</v>
      </c>
      <c r="J96" s="152"/>
      <c r="K96" s="153">
        <f aca="true" t="shared" si="17" ref="K96:K105">M96</f>
        <v>42620</v>
      </c>
      <c r="L96" s="141"/>
      <c r="M96" s="138">
        <v>42620</v>
      </c>
      <c r="N96" s="138">
        <v>42620</v>
      </c>
      <c r="O96" s="142">
        <f t="shared" si="10"/>
        <v>0</v>
      </c>
      <c r="P96" s="142">
        <f t="shared" si="11"/>
        <v>0</v>
      </c>
      <c r="Q96" s="142">
        <f t="shared" si="12"/>
        <v>0</v>
      </c>
      <c r="R96" s="142">
        <f t="shared" si="13"/>
        <v>-30</v>
      </c>
      <c r="S96" s="143">
        <v>22</v>
      </c>
      <c r="T96" s="144">
        <f t="shared" si="14"/>
        <v>0</v>
      </c>
      <c r="U96" s="144">
        <f t="shared" si="16"/>
        <v>-1375.5</v>
      </c>
      <c r="V96" s="143">
        <f t="shared" si="15"/>
        <v>122</v>
      </c>
    </row>
    <row r="97" spans="1:22" s="18" customFormat="1" ht="12.75">
      <c r="A97" s="152" t="s">
        <v>295</v>
      </c>
      <c r="B97" s="153">
        <v>42565</v>
      </c>
      <c r="C97" s="152" t="s">
        <v>296</v>
      </c>
      <c r="D97" s="154">
        <v>367.33</v>
      </c>
      <c r="J97" s="152"/>
      <c r="K97" s="153">
        <f t="shared" si="17"/>
        <v>42569</v>
      </c>
      <c r="L97" s="141"/>
      <c r="M97" s="138">
        <v>42569</v>
      </c>
      <c r="N97" s="138">
        <v>42569</v>
      </c>
      <c r="O97" s="142">
        <f t="shared" si="10"/>
        <v>0</v>
      </c>
      <c r="P97" s="142">
        <f t="shared" si="11"/>
        <v>0</v>
      </c>
      <c r="Q97" s="142">
        <f t="shared" si="12"/>
        <v>0</v>
      </c>
      <c r="R97" s="142">
        <f t="shared" si="13"/>
        <v>-30</v>
      </c>
      <c r="S97" s="143">
        <v>29</v>
      </c>
      <c r="T97" s="144">
        <f t="shared" si="14"/>
        <v>0</v>
      </c>
      <c r="U97" s="144">
        <f t="shared" si="16"/>
        <v>-11019.9</v>
      </c>
      <c r="V97" s="143">
        <f t="shared" si="15"/>
        <v>129</v>
      </c>
    </row>
    <row r="98" spans="1:22" s="18" customFormat="1" ht="12.75">
      <c r="A98" s="152" t="s">
        <v>297</v>
      </c>
      <c r="B98" s="153">
        <v>42594</v>
      </c>
      <c r="C98" s="152" t="s">
        <v>298</v>
      </c>
      <c r="D98" s="154">
        <v>350.73</v>
      </c>
      <c r="J98" s="152"/>
      <c r="K98" s="153">
        <f t="shared" si="17"/>
        <v>42598</v>
      </c>
      <c r="L98" s="141"/>
      <c r="M98" s="138">
        <v>42598</v>
      </c>
      <c r="N98" s="138">
        <v>42598</v>
      </c>
      <c r="O98" s="142">
        <f t="shared" si="10"/>
        <v>0</v>
      </c>
      <c r="P98" s="142">
        <f t="shared" si="11"/>
        <v>0</v>
      </c>
      <c r="Q98" s="142">
        <f t="shared" si="12"/>
        <v>0</v>
      </c>
      <c r="R98" s="142">
        <f t="shared" si="13"/>
        <v>-30</v>
      </c>
      <c r="S98" s="143">
        <v>29</v>
      </c>
      <c r="T98" s="144">
        <f t="shared" si="14"/>
        <v>0</v>
      </c>
      <c r="U98" s="144">
        <f t="shared" si="16"/>
        <v>-10521.900000000001</v>
      </c>
      <c r="V98" s="143">
        <f t="shared" si="15"/>
        <v>129</v>
      </c>
    </row>
    <row r="99" spans="1:22" s="18" customFormat="1" ht="12.75">
      <c r="A99" s="152" t="s">
        <v>299</v>
      </c>
      <c r="B99" s="153">
        <v>42613</v>
      </c>
      <c r="C99" s="152" t="s">
        <v>300</v>
      </c>
      <c r="D99" s="154">
        <v>119.19</v>
      </c>
      <c r="J99" s="152"/>
      <c r="K99" s="153">
        <f t="shared" si="17"/>
        <v>42614</v>
      </c>
      <c r="L99" s="141"/>
      <c r="M99" s="138">
        <v>42614</v>
      </c>
      <c r="N99" s="138">
        <v>42614</v>
      </c>
      <c r="O99" s="142">
        <f t="shared" si="10"/>
        <v>0</v>
      </c>
      <c r="P99" s="142">
        <f t="shared" si="11"/>
        <v>0</v>
      </c>
      <c r="Q99" s="142">
        <f t="shared" si="12"/>
        <v>0</v>
      </c>
      <c r="R99" s="142">
        <f t="shared" si="13"/>
        <v>-30</v>
      </c>
      <c r="S99" s="143">
        <v>29</v>
      </c>
      <c r="T99" s="144">
        <f t="shared" si="14"/>
        <v>0</v>
      </c>
      <c r="U99" s="144">
        <f t="shared" si="16"/>
        <v>-3575.7</v>
      </c>
      <c r="V99" s="143">
        <f t="shared" si="15"/>
        <v>129</v>
      </c>
    </row>
    <row r="100" spans="1:22" s="18" customFormat="1" ht="12.75">
      <c r="A100" s="152" t="s">
        <v>301</v>
      </c>
      <c r="B100" s="153">
        <v>42614</v>
      </c>
      <c r="C100" s="152" t="s">
        <v>302</v>
      </c>
      <c r="D100" s="154">
        <v>184.15</v>
      </c>
      <c r="J100" s="152"/>
      <c r="K100" s="153">
        <f t="shared" si="17"/>
        <v>42614</v>
      </c>
      <c r="L100" s="141"/>
      <c r="M100" s="157">
        <v>42614</v>
      </c>
      <c r="N100" s="157">
        <v>42614</v>
      </c>
      <c r="O100" s="142">
        <f t="shared" si="10"/>
        <v>0</v>
      </c>
      <c r="P100" s="142">
        <f t="shared" si="11"/>
        <v>0</v>
      </c>
      <c r="Q100" s="142">
        <f t="shared" si="12"/>
        <v>0</v>
      </c>
      <c r="R100" s="142">
        <f t="shared" si="13"/>
        <v>-30</v>
      </c>
      <c r="S100" s="143">
        <v>29</v>
      </c>
      <c r="T100" s="144">
        <f t="shared" si="14"/>
        <v>0</v>
      </c>
      <c r="U100" s="144">
        <f t="shared" si="16"/>
        <v>-5524.5</v>
      </c>
      <c r="V100" s="143">
        <f t="shared" si="15"/>
        <v>129</v>
      </c>
    </row>
    <row r="101" spans="1:22" s="18" customFormat="1" ht="12.75">
      <c r="A101" s="152" t="s">
        <v>303</v>
      </c>
      <c r="B101" s="153">
        <v>42583</v>
      </c>
      <c r="C101" s="152" t="s">
        <v>304</v>
      </c>
      <c r="D101" s="154">
        <v>142.6</v>
      </c>
      <c r="J101" s="152"/>
      <c r="K101" s="153">
        <f t="shared" si="17"/>
        <v>42583</v>
      </c>
      <c r="L101" s="141"/>
      <c r="M101" s="138">
        <v>42583</v>
      </c>
      <c r="N101" s="138">
        <v>42583</v>
      </c>
      <c r="O101" s="142">
        <f t="shared" si="10"/>
        <v>0</v>
      </c>
      <c r="P101" s="142">
        <f t="shared" si="11"/>
        <v>0</v>
      </c>
      <c r="Q101" s="142">
        <f t="shared" si="12"/>
        <v>0</v>
      </c>
      <c r="R101" s="142">
        <f t="shared" si="13"/>
        <v>-30</v>
      </c>
      <c r="S101" s="143">
        <v>29</v>
      </c>
      <c r="T101" s="144">
        <f t="shared" si="14"/>
        <v>0</v>
      </c>
      <c r="U101" s="144">
        <f t="shared" si="16"/>
        <v>-4278</v>
      </c>
      <c r="V101" s="143">
        <f t="shared" si="15"/>
        <v>129</v>
      </c>
    </row>
    <row r="102" spans="1:22" s="18" customFormat="1" ht="12.75">
      <c r="A102" s="152" t="s">
        <v>305</v>
      </c>
      <c r="B102" s="153">
        <v>42601</v>
      </c>
      <c r="C102" s="152" t="s">
        <v>306</v>
      </c>
      <c r="D102" s="154">
        <v>74.48</v>
      </c>
      <c r="J102" s="152"/>
      <c r="K102" s="153">
        <f t="shared" si="17"/>
        <v>42601</v>
      </c>
      <c r="L102" s="141"/>
      <c r="M102" s="138">
        <v>42601</v>
      </c>
      <c r="N102" s="138">
        <v>42601</v>
      </c>
      <c r="O102" s="142">
        <f t="shared" si="10"/>
        <v>0</v>
      </c>
      <c r="P102" s="142">
        <f t="shared" si="11"/>
        <v>0</v>
      </c>
      <c r="Q102" s="142">
        <f t="shared" si="12"/>
        <v>0</v>
      </c>
      <c r="R102" s="142">
        <f t="shared" si="13"/>
        <v>-30</v>
      </c>
      <c r="S102" s="142">
        <v>29</v>
      </c>
      <c r="T102" s="144">
        <f t="shared" si="14"/>
        <v>0</v>
      </c>
      <c r="U102" s="144">
        <f t="shared" si="16"/>
        <v>-2234.4</v>
      </c>
      <c r="V102" s="143">
        <f t="shared" si="15"/>
        <v>129</v>
      </c>
    </row>
    <row r="103" spans="1:22" s="18" customFormat="1" ht="12.75">
      <c r="A103" s="152" t="s">
        <v>307</v>
      </c>
      <c r="B103" s="153">
        <v>42570</v>
      </c>
      <c r="C103" s="152" t="s">
        <v>308</v>
      </c>
      <c r="D103" s="154">
        <v>74.48</v>
      </c>
      <c r="J103" s="152"/>
      <c r="K103" s="153">
        <f t="shared" si="17"/>
        <v>42570</v>
      </c>
      <c r="L103" s="141"/>
      <c r="M103" s="138">
        <v>42570</v>
      </c>
      <c r="N103" s="138">
        <v>42570</v>
      </c>
      <c r="O103" s="142">
        <f t="shared" si="10"/>
        <v>0</v>
      </c>
      <c r="P103" s="142">
        <f t="shared" si="11"/>
        <v>0</v>
      </c>
      <c r="Q103" s="142">
        <f t="shared" si="12"/>
        <v>0</v>
      </c>
      <c r="R103" s="142">
        <f t="shared" si="13"/>
        <v>-30</v>
      </c>
      <c r="S103" s="143">
        <v>29</v>
      </c>
      <c r="T103" s="144">
        <f t="shared" si="14"/>
        <v>0</v>
      </c>
      <c r="U103" s="144">
        <f t="shared" si="16"/>
        <v>-2234.4</v>
      </c>
      <c r="V103" s="143">
        <f t="shared" si="15"/>
        <v>129</v>
      </c>
    </row>
    <row r="104" spans="1:22" s="18" customFormat="1" ht="12.75">
      <c r="A104" s="152" t="s">
        <v>309</v>
      </c>
      <c r="B104" s="153">
        <v>42583</v>
      </c>
      <c r="C104" s="152" t="s">
        <v>310</v>
      </c>
      <c r="D104" s="154">
        <v>217.8</v>
      </c>
      <c r="J104" s="152"/>
      <c r="K104" s="153">
        <f t="shared" si="17"/>
        <v>42587</v>
      </c>
      <c r="L104" s="141"/>
      <c r="M104" s="138">
        <v>42587</v>
      </c>
      <c r="N104" s="138">
        <v>42587</v>
      </c>
      <c r="O104" s="142">
        <f t="shared" si="10"/>
        <v>0</v>
      </c>
      <c r="P104" s="142">
        <f t="shared" si="11"/>
        <v>0</v>
      </c>
      <c r="Q104" s="142">
        <f t="shared" si="12"/>
        <v>0</v>
      </c>
      <c r="R104" s="142">
        <f t="shared" si="13"/>
        <v>-30</v>
      </c>
      <c r="S104" s="143">
        <v>20</v>
      </c>
      <c r="T104" s="144">
        <f t="shared" si="14"/>
        <v>0</v>
      </c>
      <c r="U104" s="144">
        <f t="shared" si="16"/>
        <v>-6534</v>
      </c>
      <c r="V104" s="143">
        <f t="shared" si="15"/>
        <v>120</v>
      </c>
    </row>
    <row r="105" spans="1:22" s="18" customFormat="1" ht="12.75">
      <c r="A105" s="152" t="s">
        <v>311</v>
      </c>
      <c r="B105" s="153">
        <v>42614</v>
      </c>
      <c r="C105" s="152" t="s">
        <v>312</v>
      </c>
      <c r="D105" s="154">
        <v>217.8</v>
      </c>
      <c r="J105" s="152"/>
      <c r="K105" s="153">
        <f t="shared" si="17"/>
        <v>42618</v>
      </c>
      <c r="L105" s="141"/>
      <c r="M105" s="138">
        <v>42618</v>
      </c>
      <c r="N105" s="138">
        <v>42618</v>
      </c>
      <c r="O105" s="142">
        <f t="shared" si="10"/>
        <v>0</v>
      </c>
      <c r="P105" s="142">
        <f t="shared" si="11"/>
        <v>0</v>
      </c>
      <c r="Q105" s="142">
        <f t="shared" si="12"/>
        <v>0</v>
      </c>
      <c r="R105" s="142">
        <f t="shared" si="13"/>
        <v>-30</v>
      </c>
      <c r="S105" s="143">
        <v>20</v>
      </c>
      <c r="T105" s="144">
        <f t="shared" si="14"/>
        <v>0</v>
      </c>
      <c r="U105" s="144">
        <f t="shared" si="16"/>
        <v>-6534</v>
      </c>
      <c r="V105" s="143">
        <f t="shared" si="15"/>
        <v>120</v>
      </c>
    </row>
    <row r="106" spans="1:22" s="18" customFormat="1" ht="12.75">
      <c r="A106" s="152" t="s">
        <v>313</v>
      </c>
      <c r="B106" s="153">
        <v>42626</v>
      </c>
      <c r="C106" s="152" t="s">
        <v>314</v>
      </c>
      <c r="D106" s="154">
        <v>304.92</v>
      </c>
      <c r="J106" s="152"/>
      <c r="K106" s="153">
        <v>42627</v>
      </c>
      <c r="L106" s="141"/>
      <c r="M106" s="138">
        <v>42628</v>
      </c>
      <c r="N106" s="138">
        <v>42628</v>
      </c>
      <c r="O106" s="142">
        <f t="shared" si="10"/>
        <v>1</v>
      </c>
      <c r="P106" s="142">
        <f t="shared" si="11"/>
        <v>0</v>
      </c>
      <c r="Q106" s="142">
        <f t="shared" si="12"/>
        <v>1</v>
      </c>
      <c r="R106" s="142">
        <f t="shared" si="13"/>
        <v>-29</v>
      </c>
      <c r="S106" s="143">
        <v>29</v>
      </c>
      <c r="T106" s="144">
        <f t="shared" si="14"/>
        <v>0</v>
      </c>
      <c r="U106" s="144">
        <f t="shared" si="16"/>
        <v>-8842.68</v>
      </c>
      <c r="V106" s="143">
        <f t="shared" si="15"/>
        <v>129</v>
      </c>
    </row>
    <row r="107" spans="1:22" s="18" customFormat="1" ht="12.75">
      <c r="A107" s="152" t="s">
        <v>315</v>
      </c>
      <c r="B107" s="153">
        <v>42619</v>
      </c>
      <c r="C107" s="152" t="s">
        <v>316</v>
      </c>
      <c r="D107" s="154">
        <v>297.66</v>
      </c>
      <c r="J107" s="152"/>
      <c r="K107" s="153">
        <v>42627</v>
      </c>
      <c r="L107" s="141"/>
      <c r="M107" s="138">
        <v>42628</v>
      </c>
      <c r="N107" s="138">
        <v>42628</v>
      </c>
      <c r="O107" s="142">
        <f t="shared" si="10"/>
        <v>1</v>
      </c>
      <c r="P107" s="142">
        <f t="shared" si="11"/>
        <v>0</v>
      </c>
      <c r="Q107" s="142">
        <f t="shared" si="12"/>
        <v>1</v>
      </c>
      <c r="R107" s="142">
        <f t="shared" si="13"/>
        <v>-29</v>
      </c>
      <c r="S107" s="143">
        <v>29</v>
      </c>
      <c r="T107" s="144">
        <f t="shared" si="14"/>
        <v>0</v>
      </c>
      <c r="U107" s="144">
        <f t="shared" si="16"/>
        <v>-8632.140000000001</v>
      </c>
      <c r="V107" s="143">
        <f t="shared" si="15"/>
        <v>129</v>
      </c>
    </row>
    <row r="108" spans="1:22" s="18" customFormat="1" ht="12.75">
      <c r="A108" s="152" t="s">
        <v>317</v>
      </c>
      <c r="B108" s="153">
        <v>42618</v>
      </c>
      <c r="C108" s="152" t="s">
        <v>318</v>
      </c>
      <c r="D108" s="154">
        <v>235.95</v>
      </c>
      <c r="J108" s="152"/>
      <c r="K108" s="153">
        <v>42627</v>
      </c>
      <c r="L108" s="141"/>
      <c r="M108" s="138">
        <v>42628</v>
      </c>
      <c r="N108" s="138">
        <v>42628</v>
      </c>
      <c r="O108" s="142">
        <f t="shared" si="10"/>
        <v>1</v>
      </c>
      <c r="P108" s="142">
        <f t="shared" si="11"/>
        <v>0</v>
      </c>
      <c r="Q108" s="142">
        <f t="shared" si="12"/>
        <v>1</v>
      </c>
      <c r="R108" s="142">
        <f t="shared" si="13"/>
        <v>-29</v>
      </c>
      <c r="S108" s="143">
        <v>29</v>
      </c>
      <c r="T108" s="144">
        <f t="shared" si="14"/>
        <v>0</v>
      </c>
      <c r="U108" s="144">
        <f t="shared" si="16"/>
        <v>-6842.549999999999</v>
      </c>
      <c r="V108" s="143">
        <f t="shared" si="15"/>
        <v>129</v>
      </c>
    </row>
    <row r="109" spans="1:22" s="18" customFormat="1" ht="12.75">
      <c r="A109" s="152" t="s">
        <v>319</v>
      </c>
      <c r="B109" s="153">
        <v>42620</v>
      </c>
      <c r="C109" s="152" t="s">
        <v>320</v>
      </c>
      <c r="D109" s="154">
        <v>544.5</v>
      </c>
      <c r="J109" s="152"/>
      <c r="K109" s="153">
        <v>42627</v>
      </c>
      <c r="L109" s="141"/>
      <c r="M109" s="138">
        <v>42628</v>
      </c>
      <c r="N109" s="138">
        <v>42628</v>
      </c>
      <c r="O109" s="142">
        <f t="shared" si="10"/>
        <v>1</v>
      </c>
      <c r="P109" s="142">
        <f t="shared" si="11"/>
        <v>0</v>
      </c>
      <c r="Q109" s="142">
        <f t="shared" si="12"/>
        <v>1</v>
      </c>
      <c r="R109" s="142">
        <f t="shared" si="13"/>
        <v>-29</v>
      </c>
      <c r="S109" s="143">
        <v>29</v>
      </c>
      <c r="T109" s="144">
        <f t="shared" si="14"/>
        <v>0</v>
      </c>
      <c r="U109" s="144">
        <f t="shared" si="16"/>
        <v>-15790.5</v>
      </c>
      <c r="V109" s="143">
        <f t="shared" si="15"/>
        <v>129</v>
      </c>
    </row>
    <row r="110" spans="1:22" s="18" customFormat="1" ht="12.75">
      <c r="A110" s="152" t="s">
        <v>321</v>
      </c>
      <c r="B110" s="153">
        <v>42619</v>
      </c>
      <c r="C110" s="152" t="s">
        <v>322</v>
      </c>
      <c r="D110" s="154">
        <v>828.85</v>
      </c>
      <c r="J110" s="152"/>
      <c r="K110" s="153">
        <v>42627</v>
      </c>
      <c r="L110" s="141"/>
      <c r="M110" s="138">
        <v>42628</v>
      </c>
      <c r="N110" s="138">
        <v>42628</v>
      </c>
      <c r="O110" s="142">
        <f t="shared" si="10"/>
        <v>1</v>
      </c>
      <c r="P110" s="142">
        <f t="shared" si="11"/>
        <v>0</v>
      </c>
      <c r="Q110" s="142">
        <f t="shared" si="12"/>
        <v>1</v>
      </c>
      <c r="R110" s="142">
        <f t="shared" si="13"/>
        <v>-29</v>
      </c>
      <c r="S110" s="143">
        <v>29</v>
      </c>
      <c r="T110" s="144">
        <f t="shared" si="14"/>
        <v>0</v>
      </c>
      <c r="U110" s="144">
        <f t="shared" si="16"/>
        <v>-24036.65</v>
      </c>
      <c r="V110" s="143">
        <f t="shared" si="15"/>
        <v>129</v>
      </c>
    </row>
    <row r="111" spans="1:22" s="18" customFormat="1" ht="12.75">
      <c r="A111" s="152" t="s">
        <v>323</v>
      </c>
      <c r="B111" s="153">
        <v>42625</v>
      </c>
      <c r="C111" s="152" t="s">
        <v>324</v>
      </c>
      <c r="D111" s="154">
        <v>3375.9</v>
      </c>
      <c r="J111" s="152"/>
      <c r="K111" s="153">
        <v>42627</v>
      </c>
      <c r="L111" s="141"/>
      <c r="M111" s="138">
        <v>42628</v>
      </c>
      <c r="N111" s="138">
        <v>42628</v>
      </c>
      <c r="O111" s="142">
        <f t="shared" si="10"/>
        <v>1</v>
      </c>
      <c r="P111" s="142">
        <f t="shared" si="11"/>
        <v>0</v>
      </c>
      <c r="Q111" s="142">
        <f t="shared" si="12"/>
        <v>1</v>
      </c>
      <c r="R111" s="142">
        <f t="shared" si="13"/>
        <v>-29</v>
      </c>
      <c r="S111" s="143">
        <v>29</v>
      </c>
      <c r="T111" s="144">
        <f t="shared" si="14"/>
        <v>0</v>
      </c>
      <c r="U111" s="144">
        <f t="shared" si="16"/>
        <v>-97901.1</v>
      </c>
      <c r="V111" s="143">
        <f t="shared" si="15"/>
        <v>129</v>
      </c>
    </row>
    <row r="112" spans="1:22" s="18" customFormat="1" ht="12.75">
      <c r="A112" s="152" t="s">
        <v>325</v>
      </c>
      <c r="B112" s="153">
        <v>42582</v>
      </c>
      <c r="C112" s="152" t="s">
        <v>326</v>
      </c>
      <c r="D112" s="154">
        <v>317.02</v>
      </c>
      <c r="J112" s="152"/>
      <c r="K112" s="153">
        <v>42627</v>
      </c>
      <c r="L112" s="141"/>
      <c r="M112" s="138">
        <v>42628</v>
      </c>
      <c r="N112" s="138">
        <v>42628</v>
      </c>
      <c r="O112" s="142">
        <f t="shared" si="10"/>
        <v>1</v>
      </c>
      <c r="P112" s="142">
        <f t="shared" si="11"/>
        <v>0</v>
      </c>
      <c r="Q112" s="142">
        <f t="shared" si="12"/>
        <v>1</v>
      </c>
      <c r="R112" s="142">
        <f t="shared" si="13"/>
        <v>-29</v>
      </c>
      <c r="S112" s="143">
        <v>29</v>
      </c>
      <c r="T112" s="144">
        <f t="shared" si="14"/>
        <v>0</v>
      </c>
      <c r="U112" s="144">
        <f t="shared" si="16"/>
        <v>-9193.58</v>
      </c>
      <c r="V112" s="143">
        <f t="shared" si="15"/>
        <v>129</v>
      </c>
    </row>
    <row r="113" spans="1:22" s="18" customFormat="1" ht="12.75">
      <c r="A113" s="152" t="s">
        <v>327</v>
      </c>
      <c r="B113" s="153">
        <v>42581</v>
      </c>
      <c r="C113" s="152" t="s">
        <v>328</v>
      </c>
      <c r="D113" s="154">
        <v>972</v>
      </c>
      <c r="J113" s="152"/>
      <c r="K113" s="153">
        <v>42627</v>
      </c>
      <c r="L113" s="141"/>
      <c r="M113" s="138">
        <v>42628</v>
      </c>
      <c r="N113" s="138">
        <v>42628</v>
      </c>
      <c r="O113" s="142">
        <f t="shared" si="10"/>
        <v>1</v>
      </c>
      <c r="P113" s="142">
        <f t="shared" si="11"/>
        <v>0</v>
      </c>
      <c r="Q113" s="142">
        <f t="shared" si="12"/>
        <v>1</v>
      </c>
      <c r="R113" s="142">
        <f t="shared" si="13"/>
        <v>-29</v>
      </c>
      <c r="S113" s="143">
        <v>29</v>
      </c>
      <c r="T113" s="144">
        <f t="shared" si="14"/>
        <v>0</v>
      </c>
      <c r="U113" s="144">
        <f t="shared" si="16"/>
        <v>-28188</v>
      </c>
      <c r="V113" s="143">
        <f t="shared" si="15"/>
        <v>129</v>
      </c>
    </row>
    <row r="114" spans="1:22" s="18" customFormat="1" ht="12.75">
      <c r="A114" s="152" t="s">
        <v>329</v>
      </c>
      <c r="B114" s="153">
        <v>42581</v>
      </c>
      <c r="C114" s="152" t="s">
        <v>330</v>
      </c>
      <c r="D114" s="154">
        <v>972</v>
      </c>
      <c r="J114" s="152"/>
      <c r="K114" s="153">
        <v>42627</v>
      </c>
      <c r="L114" s="141"/>
      <c r="M114" s="138">
        <v>42628</v>
      </c>
      <c r="N114" s="138">
        <v>42628</v>
      </c>
      <c r="O114" s="142">
        <f t="shared" si="10"/>
        <v>1</v>
      </c>
      <c r="P114" s="142">
        <f t="shared" si="11"/>
        <v>0</v>
      </c>
      <c r="Q114" s="142">
        <f t="shared" si="12"/>
        <v>1</v>
      </c>
      <c r="R114" s="142">
        <f t="shared" si="13"/>
        <v>-29</v>
      </c>
      <c r="S114" s="143">
        <v>29</v>
      </c>
      <c r="T114" s="144">
        <f t="shared" si="14"/>
        <v>0</v>
      </c>
      <c r="U114" s="144">
        <f t="shared" si="16"/>
        <v>-28188</v>
      </c>
      <c r="V114" s="143">
        <f t="shared" si="15"/>
        <v>129</v>
      </c>
    </row>
    <row r="115" spans="1:22" s="18" customFormat="1" ht="12.75">
      <c r="A115" s="152" t="s">
        <v>331</v>
      </c>
      <c r="B115" s="153">
        <v>42618</v>
      </c>
      <c r="C115" s="152" t="s">
        <v>332</v>
      </c>
      <c r="D115" s="154">
        <v>54.45</v>
      </c>
      <c r="J115" s="152"/>
      <c r="K115" s="153">
        <v>42627</v>
      </c>
      <c r="L115" s="141"/>
      <c r="M115" s="138">
        <v>42628</v>
      </c>
      <c r="N115" s="138">
        <v>42628</v>
      </c>
      <c r="O115" s="142">
        <f t="shared" si="10"/>
        <v>1</v>
      </c>
      <c r="P115" s="142">
        <f t="shared" si="11"/>
        <v>0</v>
      </c>
      <c r="Q115" s="142">
        <f t="shared" si="12"/>
        <v>1</v>
      </c>
      <c r="R115" s="142">
        <f t="shared" si="13"/>
        <v>-29</v>
      </c>
      <c r="S115" s="143">
        <v>21</v>
      </c>
      <c r="T115" s="144">
        <f t="shared" si="14"/>
        <v>0</v>
      </c>
      <c r="U115" s="144">
        <f t="shared" si="16"/>
        <v>-1579.0500000000002</v>
      </c>
      <c r="V115" s="143">
        <f t="shared" si="15"/>
        <v>121</v>
      </c>
    </row>
    <row r="116" spans="1:22" s="18" customFormat="1" ht="12.75">
      <c r="A116" s="152" t="s">
        <v>333</v>
      </c>
      <c r="B116" s="153">
        <v>42613</v>
      </c>
      <c r="C116" s="152" t="s">
        <v>334</v>
      </c>
      <c r="D116" s="154">
        <v>1516.81</v>
      </c>
      <c r="J116" s="152"/>
      <c r="K116" s="153">
        <v>42627</v>
      </c>
      <c r="L116" s="141"/>
      <c r="M116" s="138">
        <v>42628</v>
      </c>
      <c r="N116" s="138">
        <v>42628</v>
      </c>
      <c r="O116" s="142">
        <f t="shared" si="10"/>
        <v>1</v>
      </c>
      <c r="P116" s="142">
        <f t="shared" si="11"/>
        <v>0</v>
      </c>
      <c r="Q116" s="142">
        <f t="shared" si="12"/>
        <v>1</v>
      </c>
      <c r="R116" s="142">
        <f t="shared" si="13"/>
        <v>-29</v>
      </c>
      <c r="S116" s="143">
        <v>29</v>
      </c>
      <c r="T116" s="144">
        <f t="shared" si="14"/>
        <v>0</v>
      </c>
      <c r="U116" s="144">
        <f t="shared" si="16"/>
        <v>-43987.49</v>
      </c>
      <c r="V116" s="143">
        <f t="shared" si="15"/>
        <v>129</v>
      </c>
    </row>
    <row r="117" spans="1:22" s="18" customFormat="1" ht="12.75">
      <c r="A117" s="152" t="s">
        <v>335</v>
      </c>
      <c r="B117" s="153">
        <v>42611</v>
      </c>
      <c r="C117" s="152" t="s">
        <v>336</v>
      </c>
      <c r="D117" s="154">
        <v>382.97</v>
      </c>
      <c r="J117" s="152"/>
      <c r="K117" s="153">
        <v>42627</v>
      </c>
      <c r="L117" s="141"/>
      <c r="M117" s="138">
        <v>42628</v>
      </c>
      <c r="N117" s="138">
        <v>42628</v>
      </c>
      <c r="O117" s="142">
        <f t="shared" si="10"/>
        <v>1</v>
      </c>
      <c r="P117" s="142">
        <f t="shared" si="11"/>
        <v>0</v>
      </c>
      <c r="Q117" s="142">
        <f t="shared" si="12"/>
        <v>1</v>
      </c>
      <c r="R117" s="142">
        <f t="shared" si="13"/>
        <v>-29</v>
      </c>
      <c r="S117" s="143">
        <v>21</v>
      </c>
      <c r="T117" s="144">
        <f t="shared" si="14"/>
        <v>0</v>
      </c>
      <c r="U117" s="144">
        <f t="shared" si="16"/>
        <v>-11106.130000000001</v>
      </c>
      <c r="V117" s="143">
        <f t="shared" si="15"/>
        <v>121</v>
      </c>
    </row>
    <row r="118" spans="1:22" s="18" customFormat="1" ht="12.75">
      <c r="A118" s="152" t="s">
        <v>337</v>
      </c>
      <c r="B118" s="153">
        <v>42620</v>
      </c>
      <c r="C118" s="152" t="s">
        <v>338</v>
      </c>
      <c r="D118" s="154">
        <v>1179.75</v>
      </c>
      <c r="J118" s="152"/>
      <c r="K118" s="153">
        <v>42628</v>
      </c>
      <c r="L118" s="141"/>
      <c r="M118" s="138">
        <v>42628</v>
      </c>
      <c r="N118" s="138">
        <v>42628</v>
      </c>
      <c r="O118" s="142">
        <f t="shared" si="10"/>
        <v>0</v>
      </c>
      <c r="P118" s="142">
        <f t="shared" si="11"/>
        <v>0</v>
      </c>
      <c r="Q118" s="142">
        <f t="shared" si="12"/>
        <v>0</v>
      </c>
      <c r="R118" s="142">
        <f t="shared" si="13"/>
        <v>-30</v>
      </c>
      <c r="S118" s="143">
        <v>29</v>
      </c>
      <c r="T118" s="144">
        <f t="shared" si="14"/>
        <v>0</v>
      </c>
      <c r="U118" s="144">
        <f t="shared" si="16"/>
        <v>-35392.5</v>
      </c>
      <c r="V118" s="143">
        <f t="shared" si="15"/>
        <v>129</v>
      </c>
    </row>
    <row r="119" spans="1:22" s="18" customFormat="1" ht="12.75">
      <c r="A119" s="152" t="s">
        <v>339</v>
      </c>
      <c r="B119" s="153">
        <v>42582</v>
      </c>
      <c r="C119" s="152" t="s">
        <v>340</v>
      </c>
      <c r="D119" s="154">
        <v>408.31</v>
      </c>
      <c r="J119" s="152"/>
      <c r="K119" s="153">
        <f>M119</f>
        <v>42612</v>
      </c>
      <c r="L119" s="141"/>
      <c r="M119" s="138">
        <v>42612</v>
      </c>
      <c r="N119" s="138">
        <v>42612</v>
      </c>
      <c r="O119" s="142">
        <f t="shared" si="10"/>
        <v>0</v>
      </c>
      <c r="P119" s="142">
        <f t="shared" si="11"/>
        <v>0</v>
      </c>
      <c r="Q119" s="142">
        <f t="shared" si="12"/>
        <v>0</v>
      </c>
      <c r="R119" s="142">
        <f t="shared" si="13"/>
        <v>-30</v>
      </c>
      <c r="S119" s="143">
        <v>22</v>
      </c>
      <c r="T119" s="144">
        <f t="shared" si="14"/>
        <v>0</v>
      </c>
      <c r="U119" s="144">
        <f t="shared" si="16"/>
        <v>-12249.3</v>
      </c>
      <c r="V119" s="143">
        <f t="shared" si="15"/>
        <v>122</v>
      </c>
    </row>
    <row r="120" spans="1:22" s="18" customFormat="1" ht="12.75">
      <c r="A120" s="152" t="s">
        <v>341</v>
      </c>
      <c r="B120" s="153">
        <v>42560</v>
      </c>
      <c r="C120" s="152" t="s">
        <v>342</v>
      </c>
      <c r="D120" s="154">
        <v>1179.75</v>
      </c>
      <c r="J120" s="152"/>
      <c r="K120" s="153">
        <v>42629</v>
      </c>
      <c r="L120" s="141"/>
      <c r="M120" s="138">
        <v>42636</v>
      </c>
      <c r="N120" s="138">
        <v>42636</v>
      </c>
      <c r="O120" s="142">
        <f t="shared" si="10"/>
        <v>7</v>
      </c>
      <c r="P120" s="142">
        <f t="shared" si="11"/>
        <v>0</v>
      </c>
      <c r="Q120" s="142">
        <f t="shared" si="12"/>
        <v>7</v>
      </c>
      <c r="R120" s="142">
        <f t="shared" si="13"/>
        <v>-23</v>
      </c>
      <c r="S120" s="143">
        <v>29</v>
      </c>
      <c r="T120" s="144">
        <f t="shared" si="14"/>
        <v>0</v>
      </c>
      <c r="U120" s="144">
        <f t="shared" si="16"/>
        <v>-27134.25</v>
      </c>
      <c r="V120" s="143">
        <f t="shared" si="15"/>
        <v>129</v>
      </c>
    </row>
    <row r="121" spans="1:22" s="18" customFormat="1" ht="12.75">
      <c r="A121" s="152" t="s">
        <v>343</v>
      </c>
      <c r="B121" s="153">
        <v>42554</v>
      </c>
      <c r="C121" s="152" t="s">
        <v>344</v>
      </c>
      <c r="D121" s="154">
        <v>72.65</v>
      </c>
      <c r="J121" s="152"/>
      <c r="K121" s="153">
        <f aca="true" t="shared" si="18" ref="K121:K132">M121</f>
        <v>42559</v>
      </c>
      <c r="L121" s="141"/>
      <c r="M121" s="138">
        <v>42559</v>
      </c>
      <c r="N121" s="138">
        <v>42559</v>
      </c>
      <c r="O121" s="142">
        <f aca="true" t="shared" si="19" ref="O121:O164">+M121-K121</f>
        <v>0</v>
      </c>
      <c r="P121" s="142">
        <f aca="true" t="shared" si="20" ref="P121:P164">+N121-M121</f>
        <v>0</v>
      </c>
      <c r="Q121" s="142">
        <f aca="true" t="shared" si="21" ref="Q121:Q164">+N121-K121</f>
        <v>0</v>
      </c>
      <c r="R121" s="142">
        <f aca="true" t="shared" si="22" ref="R121:R164">+Q121-30</f>
        <v>-30</v>
      </c>
      <c r="S121" s="143">
        <v>29</v>
      </c>
      <c r="T121" s="144">
        <f aca="true" t="shared" si="23" ref="T121:T164">+P121*D121</f>
        <v>0</v>
      </c>
      <c r="U121" s="144">
        <f aca="true" t="shared" si="24" ref="U121:U164">+R121*D121</f>
        <v>-2179.5</v>
      </c>
      <c r="V121" s="143">
        <f t="shared" si="15"/>
        <v>129</v>
      </c>
    </row>
    <row r="122" spans="1:22" s="18" customFormat="1" ht="12.75">
      <c r="A122" s="152" t="s">
        <v>345</v>
      </c>
      <c r="B122" s="153">
        <v>42554</v>
      </c>
      <c r="C122" s="152" t="s">
        <v>346</v>
      </c>
      <c r="D122" s="154">
        <v>300.62</v>
      </c>
      <c r="J122" s="152"/>
      <c r="K122" s="153">
        <f t="shared" si="18"/>
        <v>42559</v>
      </c>
      <c r="L122" s="141"/>
      <c r="M122" s="138">
        <v>42559</v>
      </c>
      <c r="N122" s="138">
        <v>42559</v>
      </c>
      <c r="O122" s="142">
        <f t="shared" si="19"/>
        <v>0</v>
      </c>
      <c r="P122" s="142">
        <f t="shared" si="20"/>
        <v>0</v>
      </c>
      <c r="Q122" s="142">
        <f t="shared" si="21"/>
        <v>0</v>
      </c>
      <c r="R122" s="142">
        <f t="shared" si="22"/>
        <v>-30</v>
      </c>
      <c r="S122" s="143">
        <v>29</v>
      </c>
      <c r="T122" s="144">
        <f t="shared" si="23"/>
        <v>0</v>
      </c>
      <c r="U122" s="144">
        <f t="shared" si="24"/>
        <v>-9018.6</v>
      </c>
      <c r="V122" s="143">
        <f t="shared" si="15"/>
        <v>129</v>
      </c>
    </row>
    <row r="123" spans="1:22" s="18" customFormat="1" ht="12.75">
      <c r="A123" s="152" t="s">
        <v>347</v>
      </c>
      <c r="B123" s="153">
        <v>42554</v>
      </c>
      <c r="C123" s="152" t="s">
        <v>348</v>
      </c>
      <c r="D123" s="154">
        <v>1083.66</v>
      </c>
      <c r="J123" s="152"/>
      <c r="K123" s="153">
        <f t="shared" si="18"/>
        <v>42559</v>
      </c>
      <c r="L123" s="141"/>
      <c r="M123" s="138">
        <v>42559</v>
      </c>
      <c r="N123" s="138">
        <v>42559</v>
      </c>
      <c r="O123" s="142">
        <f t="shared" si="19"/>
        <v>0</v>
      </c>
      <c r="P123" s="142">
        <f t="shared" si="20"/>
        <v>0</v>
      </c>
      <c r="Q123" s="142">
        <f t="shared" si="21"/>
        <v>0</v>
      </c>
      <c r="R123" s="142">
        <f t="shared" si="22"/>
        <v>-30</v>
      </c>
      <c r="S123" s="143">
        <v>29</v>
      </c>
      <c r="T123" s="144">
        <f t="shared" si="23"/>
        <v>0</v>
      </c>
      <c r="U123" s="144">
        <f t="shared" si="24"/>
        <v>-32509.800000000003</v>
      </c>
      <c r="V123" s="143">
        <f t="shared" si="15"/>
        <v>129</v>
      </c>
    </row>
    <row r="124" spans="1:22" s="18" customFormat="1" ht="12.75">
      <c r="A124" s="152" t="s">
        <v>349</v>
      </c>
      <c r="B124" s="153">
        <v>42554</v>
      </c>
      <c r="C124" s="152" t="s">
        <v>350</v>
      </c>
      <c r="D124" s="154">
        <v>530.63</v>
      </c>
      <c r="J124" s="152"/>
      <c r="K124" s="153">
        <f t="shared" si="18"/>
        <v>42559</v>
      </c>
      <c r="L124" s="141"/>
      <c r="M124" s="138">
        <v>42559</v>
      </c>
      <c r="N124" s="138">
        <v>42559</v>
      </c>
      <c r="O124" s="142">
        <f t="shared" si="19"/>
        <v>0</v>
      </c>
      <c r="P124" s="142">
        <f t="shared" si="20"/>
        <v>0</v>
      </c>
      <c r="Q124" s="142">
        <f t="shared" si="21"/>
        <v>0</v>
      </c>
      <c r="R124" s="142">
        <f t="shared" si="22"/>
        <v>-30</v>
      </c>
      <c r="S124" s="143">
        <v>29</v>
      </c>
      <c r="T124" s="144">
        <f t="shared" si="23"/>
        <v>0</v>
      </c>
      <c r="U124" s="144">
        <f t="shared" si="24"/>
        <v>-15918.9</v>
      </c>
      <c r="V124" s="143">
        <f t="shared" si="15"/>
        <v>129</v>
      </c>
    </row>
    <row r="125" spans="1:22" s="143" customFormat="1" ht="12.75">
      <c r="A125" s="152" t="s">
        <v>351</v>
      </c>
      <c r="B125" s="153">
        <v>42554</v>
      </c>
      <c r="C125" s="152" t="s">
        <v>352</v>
      </c>
      <c r="D125" s="154">
        <v>75.07</v>
      </c>
      <c r="J125" s="152"/>
      <c r="K125" s="153">
        <f t="shared" si="18"/>
        <v>42559</v>
      </c>
      <c r="L125" s="147"/>
      <c r="M125" s="151">
        <v>42559</v>
      </c>
      <c r="N125" s="151">
        <v>42559</v>
      </c>
      <c r="O125" s="142">
        <f t="shared" si="19"/>
        <v>0</v>
      </c>
      <c r="P125" s="142">
        <f t="shared" si="20"/>
        <v>0</v>
      </c>
      <c r="Q125" s="142">
        <f t="shared" si="21"/>
        <v>0</v>
      </c>
      <c r="R125" s="142">
        <f t="shared" si="22"/>
        <v>-30</v>
      </c>
      <c r="S125" s="143">
        <v>29</v>
      </c>
      <c r="T125" s="144">
        <f t="shared" si="23"/>
        <v>0</v>
      </c>
      <c r="U125" s="144">
        <f t="shared" si="24"/>
        <v>-2252.1</v>
      </c>
      <c r="V125" s="143">
        <f t="shared" si="15"/>
        <v>129</v>
      </c>
    </row>
    <row r="126" spans="1:22" s="18" customFormat="1" ht="12.75">
      <c r="A126" s="152" t="s">
        <v>353</v>
      </c>
      <c r="B126" s="153">
        <v>42585</v>
      </c>
      <c r="C126" s="152" t="s">
        <v>354</v>
      </c>
      <c r="D126" s="154">
        <v>72.65</v>
      </c>
      <c r="J126" s="152"/>
      <c r="K126" s="153">
        <f t="shared" si="18"/>
        <v>42590</v>
      </c>
      <c r="L126" s="141"/>
      <c r="M126" s="151">
        <v>42590</v>
      </c>
      <c r="N126" s="151">
        <v>42590</v>
      </c>
      <c r="O126" s="142">
        <f t="shared" si="19"/>
        <v>0</v>
      </c>
      <c r="P126" s="142">
        <f t="shared" si="20"/>
        <v>0</v>
      </c>
      <c r="Q126" s="142">
        <f t="shared" si="21"/>
        <v>0</v>
      </c>
      <c r="R126" s="142">
        <f t="shared" si="22"/>
        <v>-30</v>
      </c>
      <c r="S126" s="143">
        <v>29</v>
      </c>
      <c r="T126" s="144">
        <f t="shared" si="23"/>
        <v>0</v>
      </c>
      <c r="U126" s="144">
        <f t="shared" si="24"/>
        <v>-2179.5</v>
      </c>
      <c r="V126" s="143">
        <f t="shared" si="15"/>
        <v>129</v>
      </c>
    </row>
    <row r="127" spans="1:22" s="18" customFormat="1" ht="12.75">
      <c r="A127" s="152" t="s">
        <v>355</v>
      </c>
      <c r="B127" s="153">
        <v>42585</v>
      </c>
      <c r="C127" s="152" t="s">
        <v>356</v>
      </c>
      <c r="D127" s="154">
        <v>300.62</v>
      </c>
      <c r="J127" s="152"/>
      <c r="K127" s="153">
        <f t="shared" si="18"/>
        <v>42590</v>
      </c>
      <c r="L127" s="141"/>
      <c r="M127" s="151">
        <v>42590</v>
      </c>
      <c r="N127" s="151">
        <v>42590</v>
      </c>
      <c r="O127" s="142">
        <f t="shared" si="19"/>
        <v>0</v>
      </c>
      <c r="P127" s="142">
        <f t="shared" si="20"/>
        <v>0</v>
      </c>
      <c r="Q127" s="142">
        <f t="shared" si="21"/>
        <v>0</v>
      </c>
      <c r="R127" s="142">
        <f t="shared" si="22"/>
        <v>-30</v>
      </c>
      <c r="S127" s="143">
        <v>29</v>
      </c>
      <c r="T127" s="144">
        <f t="shared" si="23"/>
        <v>0</v>
      </c>
      <c r="U127" s="144">
        <f t="shared" si="24"/>
        <v>-9018.6</v>
      </c>
      <c r="V127" s="143">
        <f t="shared" si="15"/>
        <v>129</v>
      </c>
    </row>
    <row r="128" spans="1:22" s="18" customFormat="1" ht="12.75">
      <c r="A128" s="152" t="s">
        <v>357</v>
      </c>
      <c r="B128" s="153">
        <v>42585</v>
      </c>
      <c r="C128" s="152" t="s">
        <v>358</v>
      </c>
      <c r="D128" s="154">
        <v>1060.63</v>
      </c>
      <c r="J128" s="152"/>
      <c r="K128" s="153">
        <f t="shared" si="18"/>
        <v>42590</v>
      </c>
      <c r="L128" s="141"/>
      <c r="M128" s="151">
        <v>42590</v>
      </c>
      <c r="N128" s="151">
        <v>42590</v>
      </c>
      <c r="O128" s="142">
        <f t="shared" si="19"/>
        <v>0</v>
      </c>
      <c r="P128" s="142">
        <f t="shared" si="20"/>
        <v>0</v>
      </c>
      <c r="Q128" s="142">
        <f t="shared" si="21"/>
        <v>0</v>
      </c>
      <c r="R128" s="142">
        <f t="shared" si="22"/>
        <v>-30</v>
      </c>
      <c r="S128" s="143">
        <v>29</v>
      </c>
      <c r="T128" s="144">
        <f t="shared" si="23"/>
        <v>0</v>
      </c>
      <c r="U128" s="144">
        <f t="shared" si="24"/>
        <v>-31818.9</v>
      </c>
      <c r="V128" s="143">
        <f t="shared" si="15"/>
        <v>129</v>
      </c>
    </row>
    <row r="129" spans="1:22" s="18" customFormat="1" ht="12.75">
      <c r="A129" s="152" t="s">
        <v>359</v>
      </c>
      <c r="B129" s="153">
        <v>42585</v>
      </c>
      <c r="C129" s="152" t="s">
        <v>360</v>
      </c>
      <c r="D129" s="154">
        <v>521.61</v>
      </c>
      <c r="J129" s="152"/>
      <c r="K129" s="153">
        <f t="shared" si="18"/>
        <v>42590</v>
      </c>
      <c r="L129" s="141"/>
      <c r="M129" s="151">
        <v>42590</v>
      </c>
      <c r="N129" s="151">
        <v>42590</v>
      </c>
      <c r="O129" s="142">
        <f t="shared" si="19"/>
        <v>0</v>
      </c>
      <c r="P129" s="142">
        <f t="shared" si="20"/>
        <v>0</v>
      </c>
      <c r="Q129" s="142">
        <f t="shared" si="21"/>
        <v>0</v>
      </c>
      <c r="R129" s="142">
        <f t="shared" si="22"/>
        <v>-30</v>
      </c>
      <c r="S129" s="143">
        <v>29</v>
      </c>
      <c r="T129" s="144">
        <f t="shared" si="23"/>
        <v>0</v>
      </c>
      <c r="U129" s="144">
        <f t="shared" si="24"/>
        <v>-15648.300000000001</v>
      </c>
      <c r="V129" s="143">
        <f t="shared" si="15"/>
        <v>129</v>
      </c>
    </row>
    <row r="130" spans="1:22" s="18" customFormat="1" ht="12.75">
      <c r="A130" s="152" t="s">
        <v>361</v>
      </c>
      <c r="B130" s="153">
        <v>42585</v>
      </c>
      <c r="C130" s="152" t="s">
        <v>362</v>
      </c>
      <c r="D130" s="154">
        <v>75.07</v>
      </c>
      <c r="J130" s="152"/>
      <c r="K130" s="153">
        <f t="shared" si="18"/>
        <v>42590</v>
      </c>
      <c r="L130" s="141"/>
      <c r="M130" s="151">
        <v>42590</v>
      </c>
      <c r="N130" s="151">
        <v>42590</v>
      </c>
      <c r="O130" s="142">
        <f t="shared" si="19"/>
        <v>0</v>
      </c>
      <c r="P130" s="142">
        <f t="shared" si="20"/>
        <v>0</v>
      </c>
      <c r="Q130" s="142">
        <f t="shared" si="21"/>
        <v>0</v>
      </c>
      <c r="R130" s="142">
        <f t="shared" si="22"/>
        <v>-30</v>
      </c>
      <c r="S130" s="143">
        <v>29</v>
      </c>
      <c r="T130" s="144">
        <f t="shared" si="23"/>
        <v>0</v>
      </c>
      <c r="U130" s="144">
        <f t="shared" si="24"/>
        <v>-2252.1</v>
      </c>
      <c r="V130" s="143">
        <f t="shared" si="15"/>
        <v>129</v>
      </c>
    </row>
    <row r="131" spans="1:22" s="18" customFormat="1" ht="12.75">
      <c r="A131" s="152" t="s">
        <v>363</v>
      </c>
      <c r="B131" s="153">
        <v>42616</v>
      </c>
      <c r="C131" s="152" t="s">
        <v>364</v>
      </c>
      <c r="D131" s="154">
        <v>72.65</v>
      </c>
      <c r="J131" s="152"/>
      <c r="K131" s="153">
        <f t="shared" si="18"/>
        <v>42621</v>
      </c>
      <c r="L131" s="141"/>
      <c r="M131" s="151">
        <v>42621</v>
      </c>
      <c r="N131" s="151">
        <v>42621</v>
      </c>
      <c r="O131" s="142">
        <f t="shared" si="19"/>
        <v>0</v>
      </c>
      <c r="P131" s="142">
        <f t="shared" si="20"/>
        <v>0</v>
      </c>
      <c r="Q131" s="142">
        <f t="shared" si="21"/>
        <v>0</v>
      </c>
      <c r="R131" s="142">
        <f t="shared" si="22"/>
        <v>-30</v>
      </c>
      <c r="S131" s="143">
        <v>29</v>
      </c>
      <c r="T131" s="144">
        <f t="shared" si="23"/>
        <v>0</v>
      </c>
      <c r="U131" s="144">
        <f t="shared" si="24"/>
        <v>-2179.5</v>
      </c>
      <c r="V131" s="143">
        <f t="shared" si="15"/>
        <v>129</v>
      </c>
    </row>
    <row r="132" spans="1:22" s="18" customFormat="1" ht="12.75">
      <c r="A132" s="152" t="s">
        <v>365</v>
      </c>
      <c r="B132" s="153">
        <v>42616</v>
      </c>
      <c r="C132" s="152" t="s">
        <v>366</v>
      </c>
      <c r="D132" s="154">
        <v>300.62</v>
      </c>
      <c r="J132" s="152"/>
      <c r="K132" s="153">
        <f t="shared" si="18"/>
        <v>42621</v>
      </c>
      <c r="L132" s="141"/>
      <c r="M132" s="151">
        <v>42621</v>
      </c>
      <c r="N132" s="151">
        <v>42621</v>
      </c>
      <c r="O132" s="142">
        <f t="shared" si="19"/>
        <v>0</v>
      </c>
      <c r="P132" s="142">
        <f t="shared" si="20"/>
        <v>0</v>
      </c>
      <c r="Q132" s="142">
        <f t="shared" si="21"/>
        <v>0</v>
      </c>
      <c r="R132" s="142">
        <f t="shared" si="22"/>
        <v>-30</v>
      </c>
      <c r="S132" s="143">
        <v>29</v>
      </c>
      <c r="T132" s="144">
        <f t="shared" si="23"/>
        <v>0</v>
      </c>
      <c r="U132" s="144">
        <f t="shared" si="24"/>
        <v>-9018.6</v>
      </c>
      <c r="V132" s="143">
        <f t="shared" si="15"/>
        <v>129</v>
      </c>
    </row>
    <row r="133" spans="1:22" s="18" customFormat="1" ht="12.75">
      <c r="A133" s="152" t="s">
        <v>367</v>
      </c>
      <c r="B133" s="153">
        <v>42616</v>
      </c>
      <c r="C133" s="152" t="s">
        <v>368</v>
      </c>
      <c r="D133" s="154">
        <v>1061.56</v>
      </c>
      <c r="J133" s="152"/>
      <c r="K133" s="153">
        <f>N133</f>
        <v>42621</v>
      </c>
      <c r="L133" s="141"/>
      <c r="M133" s="151">
        <v>42621</v>
      </c>
      <c r="N133" s="151">
        <v>42621</v>
      </c>
      <c r="O133" s="142">
        <f t="shared" si="19"/>
        <v>0</v>
      </c>
      <c r="P133" s="142">
        <f t="shared" si="20"/>
        <v>0</v>
      </c>
      <c r="Q133" s="142">
        <f t="shared" si="21"/>
        <v>0</v>
      </c>
      <c r="R133" s="142">
        <f t="shared" si="22"/>
        <v>-30</v>
      </c>
      <c r="S133" s="143">
        <v>29</v>
      </c>
      <c r="T133" s="144">
        <f t="shared" si="23"/>
        <v>0</v>
      </c>
      <c r="U133" s="144">
        <f t="shared" si="24"/>
        <v>-31846.8</v>
      </c>
      <c r="V133" s="143">
        <f aca="true" t="shared" si="25" ref="V133:V164">IF(P133&gt;30,200+S133,100+S133)</f>
        <v>129</v>
      </c>
    </row>
    <row r="134" spans="1:22" s="18" customFormat="1" ht="12.75">
      <c r="A134" s="152" t="s">
        <v>369</v>
      </c>
      <c r="B134" s="153">
        <v>42616</v>
      </c>
      <c r="C134" s="152" t="s">
        <v>370</v>
      </c>
      <c r="D134" s="154">
        <v>487.29</v>
      </c>
      <c r="J134" s="152"/>
      <c r="K134" s="153">
        <f>N134</f>
        <v>42621</v>
      </c>
      <c r="L134" s="141"/>
      <c r="M134" s="151">
        <v>42621</v>
      </c>
      <c r="N134" s="151">
        <v>42621</v>
      </c>
      <c r="O134" s="142">
        <f t="shared" si="19"/>
        <v>0</v>
      </c>
      <c r="P134" s="142">
        <f t="shared" si="20"/>
        <v>0</v>
      </c>
      <c r="Q134" s="142">
        <f t="shared" si="21"/>
        <v>0</v>
      </c>
      <c r="R134" s="142">
        <f t="shared" si="22"/>
        <v>-30</v>
      </c>
      <c r="S134" s="143">
        <v>29</v>
      </c>
      <c r="T134" s="144">
        <f t="shared" si="23"/>
        <v>0</v>
      </c>
      <c r="U134" s="144">
        <f t="shared" si="24"/>
        <v>-14618.7</v>
      </c>
      <c r="V134" s="143">
        <f t="shared" si="25"/>
        <v>129</v>
      </c>
    </row>
    <row r="135" spans="1:22" s="143" customFormat="1" ht="12.75">
      <c r="A135" s="152" t="s">
        <v>371</v>
      </c>
      <c r="B135" s="153">
        <v>42616</v>
      </c>
      <c r="C135" s="152" t="s">
        <v>372</v>
      </c>
      <c r="D135" s="154">
        <v>75.07</v>
      </c>
      <c r="J135" s="152"/>
      <c r="K135" s="153">
        <f>N135</f>
        <v>42621</v>
      </c>
      <c r="L135" s="147"/>
      <c r="M135" s="151">
        <v>42621</v>
      </c>
      <c r="N135" s="151">
        <v>42621</v>
      </c>
      <c r="O135" s="142">
        <f t="shared" si="19"/>
        <v>0</v>
      </c>
      <c r="P135" s="142">
        <f t="shared" si="20"/>
        <v>0</v>
      </c>
      <c r="Q135" s="142">
        <f t="shared" si="21"/>
        <v>0</v>
      </c>
      <c r="R135" s="142">
        <f t="shared" si="22"/>
        <v>-30</v>
      </c>
      <c r="S135" s="143">
        <v>29</v>
      </c>
      <c r="T135" s="144">
        <f t="shared" si="23"/>
        <v>0</v>
      </c>
      <c r="U135" s="144">
        <f t="shared" si="24"/>
        <v>-2252.1</v>
      </c>
      <c r="V135" s="143">
        <f t="shared" si="25"/>
        <v>129</v>
      </c>
    </row>
    <row r="136" spans="1:22" s="18" customFormat="1" ht="12.75">
      <c r="A136" s="152" t="s">
        <v>373</v>
      </c>
      <c r="B136" s="153">
        <v>42629</v>
      </c>
      <c r="C136" s="152" t="s">
        <v>374</v>
      </c>
      <c r="D136" s="154">
        <v>129.39</v>
      </c>
      <c r="J136" s="152"/>
      <c r="K136" s="153">
        <v>42635</v>
      </c>
      <c r="L136" s="141"/>
      <c r="M136" s="151">
        <v>42639</v>
      </c>
      <c r="N136" s="151">
        <v>42639</v>
      </c>
      <c r="O136" s="142">
        <f t="shared" si="19"/>
        <v>4</v>
      </c>
      <c r="P136" s="142">
        <f t="shared" si="20"/>
        <v>0</v>
      </c>
      <c r="Q136" s="142">
        <f t="shared" si="21"/>
        <v>4</v>
      </c>
      <c r="R136" s="142">
        <f t="shared" si="22"/>
        <v>-26</v>
      </c>
      <c r="S136" s="143">
        <v>22</v>
      </c>
      <c r="T136" s="144">
        <f t="shared" si="23"/>
        <v>0</v>
      </c>
      <c r="U136" s="144">
        <f t="shared" si="24"/>
        <v>-3364.1399999999994</v>
      </c>
      <c r="V136" s="143">
        <f t="shared" si="25"/>
        <v>122</v>
      </c>
    </row>
    <row r="137" spans="1:22" s="18" customFormat="1" ht="12.75">
      <c r="A137" s="152" t="s">
        <v>375</v>
      </c>
      <c r="B137" s="153">
        <v>42582</v>
      </c>
      <c r="C137" s="152" t="s">
        <v>376</v>
      </c>
      <c r="D137" s="154">
        <v>301.34</v>
      </c>
      <c r="J137" s="152"/>
      <c r="K137" s="153">
        <f aca="true" t="shared" si="26" ref="K137:K144">M137</f>
        <v>42618</v>
      </c>
      <c r="L137" s="141"/>
      <c r="M137" s="151">
        <v>42618</v>
      </c>
      <c r="N137" s="151">
        <v>42618</v>
      </c>
      <c r="O137" s="142">
        <f t="shared" si="19"/>
        <v>0</v>
      </c>
      <c r="P137" s="142">
        <f t="shared" si="20"/>
        <v>0</v>
      </c>
      <c r="Q137" s="142">
        <f t="shared" si="21"/>
        <v>0</v>
      </c>
      <c r="R137" s="142">
        <f t="shared" si="22"/>
        <v>-30</v>
      </c>
      <c r="S137" s="143">
        <v>22</v>
      </c>
      <c r="T137" s="144">
        <f t="shared" si="23"/>
        <v>0</v>
      </c>
      <c r="U137" s="144">
        <f t="shared" si="24"/>
        <v>-9040.199999999999</v>
      </c>
      <c r="V137" s="143">
        <f t="shared" si="25"/>
        <v>122</v>
      </c>
    </row>
    <row r="138" spans="1:22" s="18" customFormat="1" ht="12.75">
      <c r="A138" s="152" t="s">
        <v>377</v>
      </c>
      <c r="B138" s="153">
        <v>42572</v>
      </c>
      <c r="C138" s="152" t="s">
        <v>378</v>
      </c>
      <c r="D138" s="154">
        <v>81.82</v>
      </c>
      <c r="J138" s="152"/>
      <c r="K138" s="153">
        <f t="shared" si="26"/>
        <v>42580</v>
      </c>
      <c r="L138" s="141"/>
      <c r="M138" s="151">
        <v>42580</v>
      </c>
      <c r="N138" s="151">
        <v>42580</v>
      </c>
      <c r="O138" s="142">
        <f t="shared" si="19"/>
        <v>0</v>
      </c>
      <c r="P138" s="142">
        <f t="shared" si="20"/>
        <v>0</v>
      </c>
      <c r="Q138" s="142">
        <f t="shared" si="21"/>
        <v>0</v>
      </c>
      <c r="R138" s="142">
        <f t="shared" si="22"/>
        <v>-30</v>
      </c>
      <c r="S138" s="143">
        <v>29</v>
      </c>
      <c r="T138" s="144">
        <f t="shared" si="23"/>
        <v>0</v>
      </c>
      <c r="U138" s="144">
        <f t="shared" si="24"/>
        <v>-2454.6</v>
      </c>
      <c r="V138" s="143">
        <f t="shared" si="25"/>
        <v>129</v>
      </c>
    </row>
    <row r="139" spans="1:22" s="18" customFormat="1" ht="12.75">
      <c r="A139" s="152" t="s">
        <v>379</v>
      </c>
      <c r="B139" s="153">
        <v>42563</v>
      </c>
      <c r="C139" s="152" t="s">
        <v>380</v>
      </c>
      <c r="D139" s="154">
        <v>499</v>
      </c>
      <c r="J139" s="152"/>
      <c r="K139" s="153">
        <f t="shared" si="26"/>
        <v>42563</v>
      </c>
      <c r="L139" s="141"/>
      <c r="M139" s="151">
        <v>42563</v>
      </c>
      <c r="N139" s="151">
        <v>42563</v>
      </c>
      <c r="O139" s="142">
        <f t="shared" si="19"/>
        <v>0</v>
      </c>
      <c r="P139" s="142">
        <f t="shared" si="20"/>
        <v>0</v>
      </c>
      <c r="Q139" s="142">
        <f t="shared" si="21"/>
        <v>0</v>
      </c>
      <c r="R139" s="142">
        <f t="shared" si="22"/>
        <v>-30</v>
      </c>
      <c r="S139" s="143">
        <v>69</v>
      </c>
      <c r="T139" s="144">
        <f t="shared" si="23"/>
        <v>0</v>
      </c>
      <c r="U139" s="144">
        <f t="shared" si="24"/>
        <v>-14970</v>
      </c>
      <c r="V139" s="143">
        <f t="shared" si="25"/>
        <v>169</v>
      </c>
    </row>
    <row r="140" spans="1:22" s="18" customFormat="1" ht="12.75">
      <c r="A140" s="152" t="s">
        <v>381</v>
      </c>
      <c r="B140" s="153">
        <v>42600</v>
      </c>
      <c r="C140" s="152" t="s">
        <v>382</v>
      </c>
      <c r="D140" s="154">
        <v>10</v>
      </c>
      <c r="J140" s="152"/>
      <c r="K140" s="153">
        <f t="shared" si="26"/>
        <v>42612</v>
      </c>
      <c r="L140" s="141"/>
      <c r="M140" s="151">
        <v>42612</v>
      </c>
      <c r="N140" s="151">
        <v>42612</v>
      </c>
      <c r="O140" s="142">
        <f t="shared" si="19"/>
        <v>0</v>
      </c>
      <c r="P140" s="142">
        <f t="shared" si="20"/>
        <v>0</v>
      </c>
      <c r="Q140" s="142">
        <f t="shared" si="21"/>
        <v>0</v>
      </c>
      <c r="R140" s="142">
        <f t="shared" si="22"/>
        <v>-30</v>
      </c>
      <c r="S140" s="143">
        <v>29</v>
      </c>
      <c r="T140" s="144">
        <f t="shared" si="23"/>
        <v>0</v>
      </c>
      <c r="U140" s="144">
        <f t="shared" si="24"/>
        <v>-300</v>
      </c>
      <c r="V140" s="143">
        <f t="shared" si="25"/>
        <v>129</v>
      </c>
    </row>
    <row r="141" spans="1:22" s="18" customFormat="1" ht="12.75">
      <c r="A141" s="152" t="s">
        <v>383</v>
      </c>
      <c r="B141" s="153">
        <v>42583</v>
      </c>
      <c r="C141" s="152" t="s">
        <v>384</v>
      </c>
      <c r="D141" s="154">
        <v>54.68</v>
      </c>
      <c r="J141" s="152"/>
      <c r="K141" s="153">
        <f t="shared" si="26"/>
        <v>42583</v>
      </c>
      <c r="L141" s="141"/>
      <c r="M141" s="151">
        <v>42583</v>
      </c>
      <c r="N141" s="151">
        <v>42583</v>
      </c>
      <c r="O141" s="142">
        <f t="shared" si="19"/>
        <v>0</v>
      </c>
      <c r="P141" s="142">
        <f t="shared" si="20"/>
        <v>0</v>
      </c>
      <c r="Q141" s="142">
        <f t="shared" si="21"/>
        <v>0</v>
      </c>
      <c r="R141" s="142">
        <f t="shared" si="22"/>
        <v>-30</v>
      </c>
      <c r="S141" s="143">
        <v>21</v>
      </c>
      <c r="T141" s="144">
        <f t="shared" si="23"/>
        <v>0</v>
      </c>
      <c r="U141" s="144">
        <f t="shared" si="24"/>
        <v>-1640.4</v>
      </c>
      <c r="V141" s="143">
        <f t="shared" si="25"/>
        <v>121</v>
      </c>
    </row>
    <row r="142" spans="1:22" s="18" customFormat="1" ht="12.75">
      <c r="A142" s="152" t="s">
        <v>385</v>
      </c>
      <c r="B142" s="153">
        <v>42614</v>
      </c>
      <c r="C142" s="152" t="s">
        <v>386</v>
      </c>
      <c r="D142" s="154">
        <v>54.68</v>
      </c>
      <c r="J142" s="152"/>
      <c r="K142" s="153">
        <f t="shared" si="26"/>
        <v>42614</v>
      </c>
      <c r="L142" s="141"/>
      <c r="M142" s="151">
        <v>42614</v>
      </c>
      <c r="N142" s="151">
        <v>42614</v>
      </c>
      <c r="O142" s="142">
        <f t="shared" si="19"/>
        <v>0</v>
      </c>
      <c r="P142" s="142">
        <f t="shared" si="20"/>
        <v>0</v>
      </c>
      <c r="Q142" s="142">
        <f t="shared" si="21"/>
        <v>0</v>
      </c>
      <c r="R142" s="142">
        <f t="shared" si="22"/>
        <v>-30</v>
      </c>
      <c r="S142" s="143">
        <v>21</v>
      </c>
      <c r="T142" s="144">
        <f t="shared" si="23"/>
        <v>0</v>
      </c>
      <c r="U142" s="144">
        <f t="shared" si="24"/>
        <v>-1640.4</v>
      </c>
      <c r="V142" s="143">
        <f t="shared" si="25"/>
        <v>121</v>
      </c>
    </row>
    <row r="143" spans="1:22" s="18" customFormat="1" ht="12.75">
      <c r="A143" s="152" t="s">
        <v>387</v>
      </c>
      <c r="B143" s="153">
        <v>42582</v>
      </c>
      <c r="C143" s="152" t="s">
        <v>388</v>
      </c>
      <c r="D143" s="154">
        <v>106.7</v>
      </c>
      <c r="J143" s="152"/>
      <c r="K143" s="153">
        <f t="shared" si="26"/>
        <v>42618</v>
      </c>
      <c r="L143" s="141"/>
      <c r="M143" s="151">
        <v>42618</v>
      </c>
      <c r="N143" s="151">
        <v>42618</v>
      </c>
      <c r="O143" s="142">
        <f t="shared" si="19"/>
        <v>0</v>
      </c>
      <c r="P143" s="142">
        <f t="shared" si="20"/>
        <v>0</v>
      </c>
      <c r="Q143" s="142">
        <f t="shared" si="21"/>
        <v>0</v>
      </c>
      <c r="R143" s="142">
        <f t="shared" si="22"/>
        <v>-30</v>
      </c>
      <c r="S143" s="143">
        <v>22</v>
      </c>
      <c r="T143" s="144">
        <f t="shared" si="23"/>
        <v>0</v>
      </c>
      <c r="U143" s="144">
        <f t="shared" si="24"/>
        <v>-3201</v>
      </c>
      <c r="V143" s="143">
        <f t="shared" si="25"/>
        <v>122</v>
      </c>
    </row>
    <row r="144" spans="1:22" s="18" customFormat="1" ht="12.75">
      <c r="A144" s="152" t="s">
        <v>389</v>
      </c>
      <c r="B144" s="153">
        <v>42585</v>
      </c>
      <c r="C144" s="152" t="s">
        <v>390</v>
      </c>
      <c r="D144" s="154">
        <v>137.67</v>
      </c>
      <c r="J144" s="152"/>
      <c r="K144" s="153">
        <f t="shared" si="26"/>
        <v>42625</v>
      </c>
      <c r="L144" s="141"/>
      <c r="M144" s="151">
        <v>42625</v>
      </c>
      <c r="N144" s="151">
        <v>42625</v>
      </c>
      <c r="O144" s="142">
        <f t="shared" si="19"/>
        <v>0</v>
      </c>
      <c r="P144" s="142">
        <f t="shared" si="20"/>
        <v>0</v>
      </c>
      <c r="Q144" s="142">
        <f t="shared" si="21"/>
        <v>0</v>
      </c>
      <c r="R144" s="142">
        <f t="shared" si="22"/>
        <v>-30</v>
      </c>
      <c r="S144" s="143">
        <v>21</v>
      </c>
      <c r="T144" s="144">
        <f t="shared" si="23"/>
        <v>0</v>
      </c>
      <c r="U144" s="144">
        <f t="shared" si="24"/>
        <v>-4130.099999999999</v>
      </c>
      <c r="V144" s="143">
        <f t="shared" si="25"/>
        <v>121</v>
      </c>
    </row>
    <row r="145" spans="1:22" s="18" customFormat="1" ht="12.75">
      <c r="A145" s="152" t="s">
        <v>391</v>
      </c>
      <c r="B145" s="153">
        <v>42613</v>
      </c>
      <c r="C145" s="152" t="s">
        <v>392</v>
      </c>
      <c r="D145" s="154">
        <v>45.9</v>
      </c>
      <c r="J145" s="152"/>
      <c r="K145" s="153">
        <v>42641</v>
      </c>
      <c r="L145" s="141"/>
      <c r="M145" s="151">
        <v>42643</v>
      </c>
      <c r="N145" s="151">
        <v>42643</v>
      </c>
      <c r="O145" s="142">
        <f t="shared" si="19"/>
        <v>2</v>
      </c>
      <c r="P145" s="142">
        <f t="shared" si="20"/>
        <v>0</v>
      </c>
      <c r="Q145" s="142">
        <f t="shared" si="21"/>
        <v>2</v>
      </c>
      <c r="R145" s="142">
        <f t="shared" si="22"/>
        <v>-28</v>
      </c>
      <c r="S145" s="143">
        <v>22</v>
      </c>
      <c r="T145" s="144">
        <f t="shared" si="23"/>
        <v>0</v>
      </c>
      <c r="U145" s="144">
        <f t="shared" si="24"/>
        <v>-1285.2</v>
      </c>
      <c r="V145" s="143">
        <f t="shared" si="25"/>
        <v>122</v>
      </c>
    </row>
    <row r="146" spans="1:22" s="18" customFormat="1" ht="12.75">
      <c r="A146" s="152" t="s">
        <v>393</v>
      </c>
      <c r="B146" s="153">
        <v>42627</v>
      </c>
      <c r="C146" s="152" t="s">
        <v>394</v>
      </c>
      <c r="D146" s="154">
        <v>394.46</v>
      </c>
      <c r="J146" s="152"/>
      <c r="K146" s="153">
        <f>M146</f>
        <v>42629</v>
      </c>
      <c r="L146" s="141"/>
      <c r="M146" s="151">
        <v>42629</v>
      </c>
      <c r="N146" s="151">
        <v>42629</v>
      </c>
      <c r="O146" s="142">
        <f t="shared" si="19"/>
        <v>0</v>
      </c>
      <c r="P146" s="142">
        <f t="shared" si="20"/>
        <v>0</v>
      </c>
      <c r="Q146" s="142">
        <f t="shared" si="21"/>
        <v>0</v>
      </c>
      <c r="R146" s="142">
        <f t="shared" si="22"/>
        <v>-30</v>
      </c>
      <c r="S146" s="143">
        <v>29</v>
      </c>
      <c r="T146" s="144">
        <f t="shared" si="23"/>
        <v>0</v>
      </c>
      <c r="U146" s="144">
        <f t="shared" si="24"/>
        <v>-11833.8</v>
      </c>
      <c r="V146" s="143">
        <f t="shared" si="25"/>
        <v>129</v>
      </c>
    </row>
    <row r="147" spans="1:22" s="18" customFormat="1" ht="12.75">
      <c r="A147" s="152" t="s">
        <v>395</v>
      </c>
      <c r="B147" s="153">
        <v>42628</v>
      </c>
      <c r="C147" s="152" t="s">
        <v>396</v>
      </c>
      <c r="D147" s="154">
        <v>525.55</v>
      </c>
      <c r="J147" s="152"/>
      <c r="K147" s="153">
        <f aca="true" t="shared" si="27" ref="K147:K152">M147</f>
        <v>42632</v>
      </c>
      <c r="L147" s="141"/>
      <c r="M147" s="151">
        <v>42632</v>
      </c>
      <c r="N147" s="151">
        <v>42632</v>
      </c>
      <c r="O147" s="142">
        <f t="shared" si="19"/>
        <v>0</v>
      </c>
      <c r="P147" s="142">
        <f t="shared" si="20"/>
        <v>0</v>
      </c>
      <c r="Q147" s="142">
        <f t="shared" si="21"/>
        <v>0</v>
      </c>
      <c r="R147" s="142">
        <f t="shared" si="22"/>
        <v>-30</v>
      </c>
      <c r="S147" s="143">
        <v>29</v>
      </c>
      <c r="T147" s="144">
        <f t="shared" si="23"/>
        <v>0</v>
      </c>
      <c r="U147" s="144">
        <f t="shared" si="24"/>
        <v>-15766.499999999998</v>
      </c>
      <c r="V147" s="143">
        <f t="shared" si="25"/>
        <v>129</v>
      </c>
    </row>
    <row r="148" spans="1:22" s="18" customFormat="1" ht="12.75">
      <c r="A148" s="152" t="s">
        <v>397</v>
      </c>
      <c r="B148" s="153">
        <v>42627</v>
      </c>
      <c r="C148" s="152" t="s">
        <v>398</v>
      </c>
      <c r="D148" s="154">
        <v>26.49</v>
      </c>
      <c r="J148" s="152"/>
      <c r="K148" s="153">
        <f t="shared" si="27"/>
        <v>42635</v>
      </c>
      <c r="L148" s="141"/>
      <c r="M148" s="151">
        <v>42635</v>
      </c>
      <c r="N148" s="151">
        <v>42635</v>
      </c>
      <c r="O148" s="142">
        <f t="shared" si="19"/>
        <v>0</v>
      </c>
      <c r="P148" s="142">
        <f t="shared" si="20"/>
        <v>0</v>
      </c>
      <c r="Q148" s="142">
        <f t="shared" si="21"/>
        <v>0</v>
      </c>
      <c r="R148" s="142">
        <f t="shared" si="22"/>
        <v>-30</v>
      </c>
      <c r="S148" s="143">
        <v>29</v>
      </c>
      <c r="T148" s="144">
        <f t="shared" si="23"/>
        <v>0</v>
      </c>
      <c r="U148" s="144">
        <f t="shared" si="24"/>
        <v>-794.6999999999999</v>
      </c>
      <c r="V148" s="143">
        <f t="shared" si="25"/>
        <v>129</v>
      </c>
    </row>
    <row r="149" spans="1:22" s="18" customFormat="1" ht="12.75">
      <c r="A149" s="152" t="s">
        <v>399</v>
      </c>
      <c r="B149" s="153">
        <v>42627</v>
      </c>
      <c r="C149" s="152" t="s">
        <v>400</v>
      </c>
      <c r="D149" s="154">
        <v>19.01</v>
      </c>
      <c r="J149" s="152"/>
      <c r="K149" s="153">
        <f t="shared" si="27"/>
        <v>42635</v>
      </c>
      <c r="L149" s="141"/>
      <c r="M149" s="151">
        <v>42635</v>
      </c>
      <c r="N149" s="151">
        <v>42635</v>
      </c>
      <c r="O149" s="142">
        <f t="shared" si="19"/>
        <v>0</v>
      </c>
      <c r="P149" s="142">
        <f t="shared" si="20"/>
        <v>0</v>
      </c>
      <c r="Q149" s="142">
        <f t="shared" si="21"/>
        <v>0</v>
      </c>
      <c r="R149" s="142">
        <f t="shared" si="22"/>
        <v>-30</v>
      </c>
      <c r="S149" s="143">
        <v>29</v>
      </c>
      <c r="T149" s="144">
        <f t="shared" si="23"/>
        <v>0</v>
      </c>
      <c r="U149" s="144">
        <f t="shared" si="24"/>
        <v>-570.3000000000001</v>
      </c>
      <c r="V149" s="143">
        <f t="shared" si="25"/>
        <v>129</v>
      </c>
    </row>
    <row r="150" spans="1:22" s="18" customFormat="1" ht="12.75">
      <c r="A150" s="152" t="s">
        <v>401</v>
      </c>
      <c r="B150" s="153">
        <v>42627</v>
      </c>
      <c r="C150" s="152" t="s">
        <v>402</v>
      </c>
      <c r="D150" s="154">
        <v>20.9</v>
      </c>
      <c r="J150" s="152"/>
      <c r="K150" s="153">
        <f t="shared" si="27"/>
        <v>42635</v>
      </c>
      <c r="L150" s="141"/>
      <c r="M150" s="151">
        <v>42635</v>
      </c>
      <c r="N150" s="151">
        <v>42635</v>
      </c>
      <c r="O150" s="142">
        <f t="shared" si="19"/>
        <v>0</v>
      </c>
      <c r="P150" s="142">
        <f t="shared" si="20"/>
        <v>0</v>
      </c>
      <c r="Q150" s="142">
        <f t="shared" si="21"/>
        <v>0</v>
      </c>
      <c r="R150" s="142">
        <f t="shared" si="22"/>
        <v>-30</v>
      </c>
      <c r="S150" s="143">
        <v>29</v>
      </c>
      <c r="T150" s="144">
        <f t="shared" si="23"/>
        <v>0</v>
      </c>
      <c r="U150" s="144">
        <f t="shared" si="24"/>
        <v>-627</v>
      </c>
      <c r="V150" s="143">
        <f t="shared" si="25"/>
        <v>129</v>
      </c>
    </row>
    <row r="151" spans="1:22" s="18" customFormat="1" ht="12.75">
      <c r="A151" s="152" t="s">
        <v>403</v>
      </c>
      <c r="B151" s="153">
        <v>42627</v>
      </c>
      <c r="C151" s="152" t="s">
        <v>404</v>
      </c>
      <c r="D151" s="154">
        <v>35.95</v>
      </c>
      <c r="J151" s="152"/>
      <c r="K151" s="153">
        <f t="shared" si="27"/>
        <v>42635</v>
      </c>
      <c r="L151" s="141"/>
      <c r="M151" s="151">
        <v>42635</v>
      </c>
      <c r="N151" s="151">
        <v>42635</v>
      </c>
      <c r="O151" s="142">
        <f t="shared" si="19"/>
        <v>0</v>
      </c>
      <c r="P151" s="142">
        <f t="shared" si="20"/>
        <v>0</v>
      </c>
      <c r="Q151" s="142">
        <f t="shared" si="21"/>
        <v>0</v>
      </c>
      <c r="R151" s="142">
        <f t="shared" si="22"/>
        <v>-30</v>
      </c>
      <c r="S151" s="143">
        <v>29</v>
      </c>
      <c r="T151" s="144">
        <f t="shared" si="23"/>
        <v>0</v>
      </c>
      <c r="U151" s="144">
        <f t="shared" si="24"/>
        <v>-1078.5</v>
      </c>
      <c r="V151" s="143">
        <f t="shared" si="25"/>
        <v>129</v>
      </c>
    </row>
    <row r="152" spans="1:22" s="18" customFormat="1" ht="12.75">
      <c r="A152" s="152" t="s">
        <v>405</v>
      </c>
      <c r="B152" s="153">
        <v>42627</v>
      </c>
      <c r="C152" s="152" t="s">
        <v>406</v>
      </c>
      <c r="D152" s="154">
        <v>16.2</v>
      </c>
      <c r="J152" s="152"/>
      <c r="K152" s="153">
        <f t="shared" si="27"/>
        <v>42635</v>
      </c>
      <c r="L152" s="141"/>
      <c r="M152" s="151">
        <v>42635</v>
      </c>
      <c r="N152" s="151">
        <v>42635</v>
      </c>
      <c r="O152" s="142">
        <f t="shared" si="19"/>
        <v>0</v>
      </c>
      <c r="P152" s="142">
        <f t="shared" si="20"/>
        <v>0</v>
      </c>
      <c r="Q152" s="142">
        <f t="shared" si="21"/>
        <v>0</v>
      </c>
      <c r="R152" s="142">
        <f t="shared" si="22"/>
        <v>-30</v>
      </c>
      <c r="S152" s="143">
        <v>29</v>
      </c>
      <c r="T152" s="144">
        <f t="shared" si="23"/>
        <v>0</v>
      </c>
      <c r="U152" s="144">
        <f t="shared" si="24"/>
        <v>-486</v>
      </c>
      <c r="V152" s="143">
        <f t="shared" si="25"/>
        <v>129</v>
      </c>
    </row>
    <row r="153" spans="1:22" s="18" customFormat="1" ht="12.75">
      <c r="A153" s="152" t="s">
        <v>407</v>
      </c>
      <c r="B153" s="153">
        <v>42628</v>
      </c>
      <c r="C153" s="152" t="s">
        <v>408</v>
      </c>
      <c r="D153" s="154">
        <v>414.93</v>
      </c>
      <c r="J153" s="152"/>
      <c r="K153" s="153">
        <f aca="true" t="shared" si="28" ref="K153:K164">M153</f>
        <v>42632</v>
      </c>
      <c r="L153" s="141"/>
      <c r="M153" s="151">
        <v>42632</v>
      </c>
      <c r="N153" s="151">
        <v>42632</v>
      </c>
      <c r="O153" s="142">
        <f t="shared" si="19"/>
        <v>0</v>
      </c>
      <c r="P153" s="142">
        <f t="shared" si="20"/>
        <v>0</v>
      </c>
      <c r="Q153" s="142">
        <f t="shared" si="21"/>
        <v>0</v>
      </c>
      <c r="R153" s="142">
        <f t="shared" si="22"/>
        <v>-30</v>
      </c>
      <c r="S153" s="143">
        <v>29</v>
      </c>
      <c r="T153" s="144">
        <f t="shared" si="23"/>
        <v>0</v>
      </c>
      <c r="U153" s="144">
        <f t="shared" si="24"/>
        <v>-12447.9</v>
      </c>
      <c r="V153" s="143">
        <f t="shared" si="25"/>
        <v>129</v>
      </c>
    </row>
    <row r="154" spans="1:22" s="18" customFormat="1" ht="12.75">
      <c r="A154" s="152" t="s">
        <v>409</v>
      </c>
      <c r="B154" s="153">
        <v>42628</v>
      </c>
      <c r="C154" s="152" t="s">
        <v>410</v>
      </c>
      <c r="D154" s="154">
        <v>310</v>
      </c>
      <c r="J154" s="152"/>
      <c r="K154" s="153">
        <f t="shared" si="28"/>
        <v>42632</v>
      </c>
      <c r="L154" s="141"/>
      <c r="M154" s="151">
        <v>42632</v>
      </c>
      <c r="N154" s="151">
        <v>42632</v>
      </c>
      <c r="O154" s="142">
        <f t="shared" si="19"/>
        <v>0</v>
      </c>
      <c r="P154" s="142">
        <f t="shared" si="20"/>
        <v>0</v>
      </c>
      <c r="Q154" s="142">
        <f t="shared" si="21"/>
        <v>0</v>
      </c>
      <c r="R154" s="142">
        <f t="shared" si="22"/>
        <v>-30</v>
      </c>
      <c r="S154" s="143">
        <v>29</v>
      </c>
      <c r="T154" s="144">
        <f t="shared" si="23"/>
        <v>0</v>
      </c>
      <c r="U154" s="144">
        <f t="shared" si="24"/>
        <v>-9300</v>
      </c>
      <c r="V154" s="143">
        <f t="shared" si="25"/>
        <v>129</v>
      </c>
    </row>
    <row r="155" spans="1:22" s="18" customFormat="1" ht="12.75">
      <c r="A155" s="152" t="s">
        <v>411</v>
      </c>
      <c r="B155" s="153">
        <v>42628</v>
      </c>
      <c r="C155" s="152" t="s">
        <v>412</v>
      </c>
      <c r="D155" s="154">
        <v>369.58</v>
      </c>
      <c r="J155" s="152"/>
      <c r="K155" s="153">
        <f t="shared" si="28"/>
        <v>42632</v>
      </c>
      <c r="L155" s="141"/>
      <c r="M155" s="151">
        <v>42632</v>
      </c>
      <c r="N155" s="151">
        <v>42632</v>
      </c>
      <c r="O155" s="142">
        <f t="shared" si="19"/>
        <v>0</v>
      </c>
      <c r="P155" s="142">
        <f t="shared" si="20"/>
        <v>0</v>
      </c>
      <c r="Q155" s="142">
        <f t="shared" si="21"/>
        <v>0</v>
      </c>
      <c r="R155" s="142">
        <f t="shared" si="22"/>
        <v>-30</v>
      </c>
      <c r="S155" s="143">
        <v>29</v>
      </c>
      <c r="T155" s="144">
        <f t="shared" si="23"/>
        <v>0</v>
      </c>
      <c r="U155" s="144">
        <f t="shared" si="24"/>
        <v>-11087.4</v>
      </c>
      <c r="V155" s="143">
        <f t="shared" si="25"/>
        <v>129</v>
      </c>
    </row>
    <row r="156" spans="1:22" s="18" customFormat="1" ht="12.75">
      <c r="A156" s="152" t="s">
        <v>413</v>
      </c>
      <c r="B156" s="153">
        <v>42628</v>
      </c>
      <c r="C156" s="152" t="s">
        <v>414</v>
      </c>
      <c r="D156" s="154">
        <v>106.6</v>
      </c>
      <c r="J156" s="152"/>
      <c r="K156" s="153">
        <f t="shared" si="28"/>
        <v>42629</v>
      </c>
      <c r="L156" s="141"/>
      <c r="M156" s="151">
        <v>42629</v>
      </c>
      <c r="N156" s="151">
        <v>42629</v>
      </c>
      <c r="O156" s="142">
        <f t="shared" si="19"/>
        <v>0</v>
      </c>
      <c r="P156" s="142">
        <f t="shared" si="20"/>
        <v>0</v>
      </c>
      <c r="Q156" s="142">
        <f t="shared" si="21"/>
        <v>0</v>
      </c>
      <c r="R156" s="142">
        <f t="shared" si="22"/>
        <v>-30</v>
      </c>
      <c r="S156" s="18">
        <v>29</v>
      </c>
      <c r="T156" s="144">
        <f t="shared" si="23"/>
        <v>0</v>
      </c>
      <c r="U156" s="144">
        <f t="shared" si="24"/>
        <v>-3198</v>
      </c>
      <c r="V156" s="143">
        <f t="shared" si="25"/>
        <v>129</v>
      </c>
    </row>
    <row r="157" spans="1:22" s="18" customFormat="1" ht="12.75">
      <c r="A157" s="152" t="s">
        <v>415</v>
      </c>
      <c r="B157" s="153">
        <v>42621</v>
      </c>
      <c r="C157" s="152" t="s">
        <v>416</v>
      </c>
      <c r="D157" s="154">
        <v>61.54</v>
      </c>
      <c r="J157" s="152"/>
      <c r="K157" s="153">
        <f t="shared" si="28"/>
        <v>42625</v>
      </c>
      <c r="L157" s="141"/>
      <c r="M157" s="151">
        <v>42625</v>
      </c>
      <c r="N157" s="151">
        <v>42625</v>
      </c>
      <c r="O157" s="142">
        <f t="shared" si="19"/>
        <v>0</v>
      </c>
      <c r="P157" s="142">
        <f t="shared" si="20"/>
        <v>0</v>
      </c>
      <c r="Q157" s="142">
        <f t="shared" si="21"/>
        <v>0</v>
      </c>
      <c r="R157" s="142">
        <f t="shared" si="22"/>
        <v>-30</v>
      </c>
      <c r="S157" s="18">
        <v>21</v>
      </c>
      <c r="T157" s="144">
        <f t="shared" si="23"/>
        <v>0</v>
      </c>
      <c r="U157" s="144">
        <f t="shared" si="24"/>
        <v>-1846.2</v>
      </c>
      <c r="V157" s="143">
        <f t="shared" si="25"/>
        <v>121</v>
      </c>
    </row>
    <row r="158" spans="1:22" s="18" customFormat="1" ht="12.75">
      <c r="A158" s="152" t="s">
        <v>417</v>
      </c>
      <c r="B158" s="153">
        <v>42632</v>
      </c>
      <c r="C158" s="152" t="s">
        <v>418</v>
      </c>
      <c r="D158" s="154">
        <v>74.48</v>
      </c>
      <c r="J158" s="152"/>
      <c r="K158" s="153">
        <f t="shared" si="28"/>
        <v>42632</v>
      </c>
      <c r="L158" s="141"/>
      <c r="M158" s="151">
        <v>42632</v>
      </c>
      <c r="N158" s="151">
        <v>42632</v>
      </c>
      <c r="O158" s="142">
        <f t="shared" si="19"/>
        <v>0</v>
      </c>
      <c r="P158" s="142">
        <f t="shared" si="20"/>
        <v>0</v>
      </c>
      <c r="Q158" s="142">
        <f t="shared" si="21"/>
        <v>0</v>
      </c>
      <c r="R158" s="142">
        <f t="shared" si="22"/>
        <v>-30</v>
      </c>
      <c r="S158" s="18">
        <v>29</v>
      </c>
      <c r="T158" s="144">
        <f t="shared" si="23"/>
        <v>0</v>
      </c>
      <c r="U158" s="144">
        <f t="shared" si="24"/>
        <v>-2234.4</v>
      </c>
      <c r="V158" s="143">
        <f t="shared" si="25"/>
        <v>129</v>
      </c>
    </row>
    <row r="159" spans="1:22" s="18" customFormat="1" ht="12.75">
      <c r="A159" s="152" t="s">
        <v>419</v>
      </c>
      <c r="B159" s="153">
        <v>42580</v>
      </c>
      <c r="C159" s="152" t="s">
        <v>420</v>
      </c>
      <c r="D159" s="154">
        <v>91.39</v>
      </c>
      <c r="J159" s="152"/>
      <c r="K159" s="153">
        <f t="shared" si="28"/>
        <v>42642</v>
      </c>
      <c r="L159" s="141"/>
      <c r="M159" s="151">
        <v>42642</v>
      </c>
      <c r="N159" s="151">
        <v>42642</v>
      </c>
      <c r="O159" s="142">
        <f t="shared" si="19"/>
        <v>0</v>
      </c>
      <c r="P159" s="142">
        <f t="shared" si="20"/>
        <v>0</v>
      </c>
      <c r="Q159" s="142">
        <f t="shared" si="21"/>
        <v>0</v>
      </c>
      <c r="R159" s="142">
        <f t="shared" si="22"/>
        <v>-30</v>
      </c>
      <c r="S159" s="18">
        <v>22</v>
      </c>
      <c r="T159" s="144">
        <f t="shared" si="23"/>
        <v>0</v>
      </c>
      <c r="U159" s="144">
        <f t="shared" si="24"/>
        <v>-2741.7</v>
      </c>
      <c r="V159" s="143">
        <f t="shared" si="25"/>
        <v>122</v>
      </c>
    </row>
    <row r="160" spans="1:22" s="18" customFormat="1" ht="12.75">
      <c r="A160" s="152" t="s">
        <v>421</v>
      </c>
      <c r="B160" s="153">
        <v>42628</v>
      </c>
      <c r="C160" s="152" t="s">
        <v>422</v>
      </c>
      <c r="D160" s="154">
        <v>408.98</v>
      </c>
      <c r="J160" s="152"/>
      <c r="K160" s="153">
        <f t="shared" si="28"/>
        <v>42632</v>
      </c>
      <c r="L160" s="141"/>
      <c r="M160" s="151">
        <v>42632</v>
      </c>
      <c r="N160" s="151">
        <v>42632</v>
      </c>
      <c r="O160" s="142">
        <f t="shared" si="19"/>
        <v>0</v>
      </c>
      <c r="P160" s="142">
        <f t="shared" si="20"/>
        <v>0</v>
      </c>
      <c r="Q160" s="142">
        <f t="shared" si="21"/>
        <v>0</v>
      </c>
      <c r="R160" s="142">
        <f t="shared" si="22"/>
        <v>-30</v>
      </c>
      <c r="S160" s="18">
        <v>29</v>
      </c>
      <c r="T160" s="144">
        <f t="shared" si="23"/>
        <v>0</v>
      </c>
      <c r="U160" s="144">
        <f t="shared" si="24"/>
        <v>-12269.400000000001</v>
      </c>
      <c r="V160" s="143">
        <f t="shared" si="25"/>
        <v>129</v>
      </c>
    </row>
    <row r="161" spans="1:22" s="18" customFormat="1" ht="12.75">
      <c r="A161" s="152" t="s">
        <v>423</v>
      </c>
      <c r="B161" s="153">
        <v>42638</v>
      </c>
      <c r="C161" s="152" t="s">
        <v>424</v>
      </c>
      <c r="D161" s="154">
        <v>2757.64</v>
      </c>
      <c r="J161" s="152"/>
      <c r="K161" s="153">
        <f t="shared" si="28"/>
        <v>42643</v>
      </c>
      <c r="L161" s="141"/>
      <c r="M161" s="151">
        <v>42643</v>
      </c>
      <c r="N161" s="151">
        <v>42643</v>
      </c>
      <c r="O161" s="142">
        <f t="shared" si="19"/>
        <v>0</v>
      </c>
      <c r="P161" s="142">
        <f t="shared" si="20"/>
        <v>0</v>
      </c>
      <c r="Q161" s="142">
        <f t="shared" si="21"/>
        <v>0</v>
      </c>
      <c r="R161" s="142">
        <f t="shared" si="22"/>
        <v>-30</v>
      </c>
      <c r="S161" s="18">
        <v>21</v>
      </c>
      <c r="T161" s="144">
        <f t="shared" si="23"/>
        <v>0</v>
      </c>
      <c r="U161" s="144">
        <f t="shared" si="24"/>
        <v>-82729.2</v>
      </c>
      <c r="V161" s="143">
        <f t="shared" si="25"/>
        <v>121</v>
      </c>
    </row>
    <row r="162" spans="1:22" s="18" customFormat="1" ht="12.75">
      <c r="A162" s="152" t="s">
        <v>425</v>
      </c>
      <c r="B162" s="153">
        <v>42608</v>
      </c>
      <c r="C162" s="152" t="s">
        <v>426</v>
      </c>
      <c r="D162" s="154">
        <v>136</v>
      </c>
      <c r="J162" s="152"/>
      <c r="K162" s="153">
        <f t="shared" si="28"/>
        <v>42643</v>
      </c>
      <c r="L162" s="141"/>
      <c r="M162" s="151">
        <v>42643</v>
      </c>
      <c r="N162" s="151">
        <v>42643</v>
      </c>
      <c r="O162" s="142">
        <f t="shared" si="19"/>
        <v>0</v>
      </c>
      <c r="P162" s="142">
        <f t="shared" si="20"/>
        <v>0</v>
      </c>
      <c r="Q162" s="142">
        <f t="shared" si="21"/>
        <v>0</v>
      </c>
      <c r="R162" s="142">
        <f t="shared" si="22"/>
        <v>-30</v>
      </c>
      <c r="S162" s="18">
        <v>29</v>
      </c>
      <c r="T162" s="144">
        <f t="shared" si="23"/>
        <v>0</v>
      </c>
      <c r="U162" s="144">
        <f t="shared" si="24"/>
        <v>-4080</v>
      </c>
      <c r="V162" s="143">
        <f t="shared" si="25"/>
        <v>129</v>
      </c>
    </row>
    <row r="163" spans="1:22" s="18" customFormat="1" ht="12.75">
      <c r="A163" s="152" t="s">
        <v>427</v>
      </c>
      <c r="B163" s="153">
        <v>42629</v>
      </c>
      <c r="C163" s="152" t="s">
        <v>428</v>
      </c>
      <c r="D163" s="154">
        <v>186.2</v>
      </c>
      <c r="J163" s="152"/>
      <c r="K163" s="153">
        <f t="shared" si="28"/>
        <v>42628</v>
      </c>
      <c r="L163" s="141"/>
      <c r="M163" s="151">
        <v>42628</v>
      </c>
      <c r="N163" s="151">
        <v>42628</v>
      </c>
      <c r="O163" s="142">
        <f t="shared" si="19"/>
        <v>0</v>
      </c>
      <c r="P163" s="142">
        <f t="shared" si="20"/>
        <v>0</v>
      </c>
      <c r="Q163" s="142">
        <f t="shared" si="21"/>
        <v>0</v>
      </c>
      <c r="R163" s="142">
        <f t="shared" si="22"/>
        <v>-30</v>
      </c>
      <c r="S163" s="18">
        <v>69</v>
      </c>
      <c r="T163" s="144">
        <f t="shared" si="23"/>
        <v>0</v>
      </c>
      <c r="U163" s="144">
        <f t="shared" si="24"/>
        <v>-5586</v>
      </c>
      <c r="V163" s="143">
        <f t="shared" si="25"/>
        <v>169</v>
      </c>
    </row>
    <row r="164" spans="1:22" s="18" customFormat="1" ht="12.75">
      <c r="A164" s="152" t="s">
        <v>429</v>
      </c>
      <c r="B164" s="153">
        <v>42641</v>
      </c>
      <c r="C164" s="152" t="s">
        <v>430</v>
      </c>
      <c r="D164" s="154">
        <v>459.8</v>
      </c>
      <c r="J164" s="152"/>
      <c r="K164" s="153">
        <f t="shared" si="28"/>
        <v>42643</v>
      </c>
      <c r="L164" s="141"/>
      <c r="M164" s="151">
        <v>42643</v>
      </c>
      <c r="N164" s="151">
        <v>42643</v>
      </c>
      <c r="O164" s="142">
        <f t="shared" si="19"/>
        <v>0</v>
      </c>
      <c r="P164" s="142">
        <f t="shared" si="20"/>
        <v>0</v>
      </c>
      <c r="Q164" s="142">
        <f t="shared" si="21"/>
        <v>0</v>
      </c>
      <c r="R164" s="142">
        <f t="shared" si="22"/>
        <v>-30</v>
      </c>
      <c r="S164" s="18">
        <v>29</v>
      </c>
      <c r="T164" s="144">
        <f t="shared" si="23"/>
        <v>0</v>
      </c>
      <c r="U164" s="144">
        <f t="shared" si="24"/>
        <v>-13794</v>
      </c>
      <c r="V164" s="143">
        <f t="shared" si="25"/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10.14062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6.57421875" style="2" bestFit="1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80</v>
      </c>
      <c r="B1" s="16"/>
      <c r="C1" s="4"/>
      <c r="D1" s="7"/>
      <c r="E1" s="4"/>
      <c r="F1" s="4"/>
      <c r="G1" s="119" t="s">
        <v>79</v>
      </c>
      <c r="H1" s="4"/>
      <c r="I1" s="4"/>
      <c r="J1" s="4"/>
      <c r="O1" s="96"/>
      <c r="P1" s="96" t="s">
        <v>89</v>
      </c>
      <c r="Q1" s="115">
        <v>42643</v>
      </c>
    </row>
    <row r="3" spans="1:22" ht="38.25" customHeight="1">
      <c r="A3" s="5" t="s">
        <v>81</v>
      </c>
      <c r="B3" s="17" t="s">
        <v>82</v>
      </c>
      <c r="C3" s="6" t="s">
        <v>70</v>
      </c>
      <c r="D3" s="116" t="s">
        <v>63</v>
      </c>
      <c r="E3" s="5" t="s">
        <v>83</v>
      </c>
      <c r="F3" s="118" t="s">
        <v>71</v>
      </c>
      <c r="G3" s="118" t="s">
        <v>72</v>
      </c>
      <c r="H3" s="6" t="s">
        <v>9</v>
      </c>
      <c r="I3" s="6" t="s">
        <v>10</v>
      </c>
      <c r="J3" s="118" t="s">
        <v>8</v>
      </c>
      <c r="K3" s="117" t="s">
        <v>84</v>
      </c>
      <c r="L3" s="15" t="s">
        <v>85</v>
      </c>
      <c r="M3" s="15" t="s">
        <v>73</v>
      </c>
      <c r="N3" s="15" t="s">
        <v>74</v>
      </c>
      <c r="O3" s="10" t="s">
        <v>86</v>
      </c>
      <c r="P3" s="11" t="s">
        <v>87</v>
      </c>
      <c r="Q3" s="12" t="s">
        <v>88</v>
      </c>
      <c r="R3" s="13" t="s">
        <v>65</v>
      </c>
      <c r="S3" s="2" t="s">
        <v>75</v>
      </c>
      <c r="T3" s="8" t="s">
        <v>76</v>
      </c>
      <c r="U3" s="8" t="s">
        <v>77</v>
      </c>
      <c r="V3" s="2" t="s">
        <v>78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EK55"/>
  <sheetViews>
    <sheetView tabSelected="1" zoomScalePageLayoutView="0" workbookViewId="0" topLeftCell="A22">
      <selection activeCell="D51" sqref="D51"/>
    </sheetView>
  </sheetViews>
  <sheetFormatPr defaultColWidth="9.140625" defaultRowHeight="12.75"/>
  <cols>
    <col min="1" max="1" width="16.7109375" style="2" customWidth="1"/>
    <col min="2" max="2" width="10.14062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2" width="10.140625" style="14" bestFit="1" customWidth="1"/>
    <col min="13" max="13" width="13.421875" style="14" customWidth="1"/>
    <col min="14" max="14" width="10.140625" style="9" bestFit="1" customWidth="1"/>
    <col min="15" max="15" width="9.8515625" style="9" bestFit="1" customWidth="1"/>
    <col min="16" max="16" width="9.8515625" style="2" bestFit="1" customWidth="1"/>
    <col min="17" max="18" width="15.57421875" style="8" bestFit="1" customWidth="1"/>
    <col min="19" max="21" width="9.140625" style="2" customWidth="1"/>
    <col min="22" max="140" width="9.140625" style="134" customWidth="1"/>
    <col min="141" max="16384" width="9.140625" style="2" customWidth="1"/>
  </cols>
  <sheetData>
    <row r="2" ht="11.25">
      <c r="D2" s="127" t="s">
        <v>92</v>
      </c>
    </row>
    <row r="3" spans="1:16" ht="11.25">
      <c r="A3" s="3" t="s">
        <v>96</v>
      </c>
      <c r="B3" s="16"/>
      <c r="C3" s="4"/>
      <c r="D3" s="126" t="s">
        <v>90</v>
      </c>
      <c r="E3" s="4"/>
      <c r="F3" s="4"/>
      <c r="G3" s="4"/>
      <c r="H3" s="4"/>
      <c r="I3" s="4"/>
      <c r="J3" s="4"/>
      <c r="M3" s="97"/>
      <c r="N3" s="96"/>
      <c r="O3" s="96" t="s">
        <v>97</v>
      </c>
      <c r="P3" s="115">
        <v>42643</v>
      </c>
    </row>
    <row r="5" spans="1:141" ht="38.25" customHeight="1">
      <c r="A5" s="5" t="s">
        <v>104</v>
      </c>
      <c r="B5" s="17" t="s">
        <v>82</v>
      </c>
      <c r="C5" s="6" t="s">
        <v>70</v>
      </c>
      <c r="D5" s="116" t="s">
        <v>63</v>
      </c>
      <c r="E5" s="5" t="s">
        <v>83</v>
      </c>
      <c r="F5" s="125" t="s">
        <v>71</v>
      </c>
      <c r="G5" s="125" t="s">
        <v>72</v>
      </c>
      <c r="H5" s="6" t="s">
        <v>9</v>
      </c>
      <c r="I5" s="6" t="s">
        <v>10</v>
      </c>
      <c r="J5" s="118" t="s">
        <v>8</v>
      </c>
      <c r="K5" s="117" t="s">
        <v>84</v>
      </c>
      <c r="L5" s="15" t="s">
        <v>85</v>
      </c>
      <c r="M5" s="117" t="s">
        <v>73</v>
      </c>
      <c r="N5" s="117" t="s">
        <v>74</v>
      </c>
      <c r="O5" s="11" t="s">
        <v>105</v>
      </c>
      <c r="P5" s="13" t="s">
        <v>65</v>
      </c>
      <c r="Q5" s="132" t="s">
        <v>11</v>
      </c>
      <c r="R5" s="8" t="s">
        <v>76</v>
      </c>
      <c r="S5" s="8" t="s">
        <v>77</v>
      </c>
      <c r="T5" s="2" t="s">
        <v>78</v>
      </c>
      <c r="V5" s="2"/>
      <c r="EK5" s="134"/>
    </row>
    <row r="6" spans="1:19" s="18" customFormat="1" ht="12.75">
      <c r="A6" s="158" t="s">
        <v>431</v>
      </c>
      <c r="B6" s="159">
        <v>42613</v>
      </c>
      <c r="C6" s="158" t="s">
        <v>432</v>
      </c>
      <c r="D6" s="160">
        <v>665.5</v>
      </c>
      <c r="E6" s="2"/>
      <c r="F6" s="2"/>
      <c r="G6" s="2"/>
      <c r="H6" s="2"/>
      <c r="I6" s="2"/>
      <c r="J6" s="158"/>
      <c r="K6" s="159">
        <v>42633</v>
      </c>
      <c r="L6" s="161">
        <v>42646</v>
      </c>
      <c r="M6" s="161">
        <v>42646</v>
      </c>
      <c r="N6" s="9">
        <f>+$P$3-K6</f>
        <v>10</v>
      </c>
      <c r="O6" s="9">
        <f>+N6-30</f>
        <v>-20</v>
      </c>
      <c r="P6" s="9">
        <v>29</v>
      </c>
      <c r="Q6" s="162">
        <f>+N6*D6</f>
        <v>6655</v>
      </c>
      <c r="R6" s="2">
        <f>+O6*D6</f>
        <v>-13310</v>
      </c>
      <c r="S6" s="8"/>
    </row>
    <row r="7" spans="1:19" s="18" customFormat="1" ht="12.75">
      <c r="A7" s="158" t="s">
        <v>433</v>
      </c>
      <c r="B7" s="159">
        <v>42598</v>
      </c>
      <c r="C7" s="158" t="s">
        <v>434</v>
      </c>
      <c r="D7" s="160">
        <v>51.99</v>
      </c>
      <c r="E7" s="2"/>
      <c r="F7" s="2"/>
      <c r="G7" s="2"/>
      <c r="H7" s="2"/>
      <c r="I7" s="2"/>
      <c r="J7" s="158"/>
      <c r="K7" s="159">
        <v>42634</v>
      </c>
      <c r="L7" s="163">
        <v>42663</v>
      </c>
      <c r="M7" s="163">
        <v>42663</v>
      </c>
      <c r="N7" s="9">
        <f aca="true" t="shared" si="0" ref="N7:N16">+$P$3-K7</f>
        <v>9</v>
      </c>
      <c r="O7" s="9">
        <f aca="true" t="shared" si="1" ref="O7:O16">+N7-30</f>
        <v>-21</v>
      </c>
      <c r="P7" s="9">
        <f>+L7-K7</f>
        <v>29</v>
      </c>
      <c r="Q7" s="162">
        <f aca="true" t="shared" si="2" ref="Q7:Q16">+N7*D7</f>
        <v>467.91</v>
      </c>
      <c r="R7" s="2">
        <f aca="true" t="shared" si="3" ref="R7:R16">+O7*D7</f>
        <v>-1091.79</v>
      </c>
      <c r="S7" s="8"/>
    </row>
    <row r="8" spans="1:19" s="18" customFormat="1" ht="12.75">
      <c r="A8" s="158" t="s">
        <v>435</v>
      </c>
      <c r="B8" s="159">
        <v>42607</v>
      </c>
      <c r="C8" s="158" t="s">
        <v>436</v>
      </c>
      <c r="D8" s="160">
        <v>1452</v>
      </c>
      <c r="E8" s="2"/>
      <c r="F8" s="2"/>
      <c r="G8" s="2"/>
      <c r="H8" s="2"/>
      <c r="I8" s="2"/>
      <c r="J8" s="158"/>
      <c r="K8" s="159">
        <v>42640</v>
      </c>
      <c r="L8" s="164">
        <v>42647</v>
      </c>
      <c r="M8" s="164">
        <v>42647</v>
      </c>
      <c r="N8" s="9">
        <f t="shared" si="0"/>
        <v>3</v>
      </c>
      <c r="O8" s="9">
        <f t="shared" si="1"/>
        <v>-27</v>
      </c>
      <c r="P8" s="9">
        <v>21</v>
      </c>
      <c r="Q8" s="162">
        <f t="shared" si="2"/>
        <v>4356</v>
      </c>
      <c r="R8" s="2">
        <f t="shared" si="3"/>
        <v>-39204</v>
      </c>
      <c r="S8" s="8"/>
    </row>
    <row r="9" spans="1:19" s="18" customFormat="1" ht="12.75">
      <c r="A9" s="158" t="s">
        <v>437</v>
      </c>
      <c r="B9" s="159">
        <v>42620</v>
      </c>
      <c r="C9" s="158" t="s">
        <v>438</v>
      </c>
      <c r="D9" s="160">
        <v>375.1</v>
      </c>
      <c r="E9" s="2"/>
      <c r="F9" s="2"/>
      <c r="G9" s="2"/>
      <c r="H9" s="2"/>
      <c r="I9" s="2"/>
      <c r="J9" s="158"/>
      <c r="K9" s="159">
        <v>42641</v>
      </c>
      <c r="L9" s="164">
        <v>42647</v>
      </c>
      <c r="M9" s="164">
        <v>42647</v>
      </c>
      <c r="N9" s="9">
        <f t="shared" si="0"/>
        <v>2</v>
      </c>
      <c r="O9" s="9">
        <f t="shared" si="1"/>
        <v>-28</v>
      </c>
      <c r="P9" s="9">
        <v>29</v>
      </c>
      <c r="Q9" s="162">
        <f t="shared" si="2"/>
        <v>750.2</v>
      </c>
      <c r="R9" s="2">
        <f t="shared" si="3"/>
        <v>-10502.800000000001</v>
      </c>
      <c r="S9" s="8"/>
    </row>
    <row r="10" spans="1:19" s="18" customFormat="1" ht="12.75">
      <c r="A10" s="158" t="s">
        <v>439</v>
      </c>
      <c r="B10" s="159">
        <v>42612</v>
      </c>
      <c r="C10" s="158" t="s">
        <v>440</v>
      </c>
      <c r="D10" s="160">
        <v>72.36</v>
      </c>
      <c r="E10" s="2"/>
      <c r="F10" s="2"/>
      <c r="G10" s="2"/>
      <c r="H10" s="2"/>
      <c r="I10" s="2"/>
      <c r="J10" s="158"/>
      <c r="K10" s="159">
        <v>42641</v>
      </c>
      <c r="L10" s="164">
        <v>42646</v>
      </c>
      <c r="M10" s="164">
        <v>42646</v>
      </c>
      <c r="N10" s="9">
        <f t="shared" si="0"/>
        <v>2</v>
      </c>
      <c r="O10" s="9">
        <f t="shared" si="1"/>
        <v>-28</v>
      </c>
      <c r="P10" s="9">
        <v>29</v>
      </c>
      <c r="Q10" s="162">
        <f t="shared" si="2"/>
        <v>144.72</v>
      </c>
      <c r="R10" s="2">
        <f t="shared" si="3"/>
        <v>-2026.08</v>
      </c>
      <c r="S10" s="8"/>
    </row>
    <row r="11" spans="1:19" s="18" customFormat="1" ht="12.75">
      <c r="A11" s="158" t="s">
        <v>441</v>
      </c>
      <c r="B11" s="159">
        <v>42613</v>
      </c>
      <c r="C11" s="158" t="s">
        <v>442</v>
      </c>
      <c r="D11" s="160">
        <v>1400</v>
      </c>
      <c r="E11" s="2"/>
      <c r="F11" s="2"/>
      <c r="G11" s="2"/>
      <c r="H11" s="2"/>
      <c r="I11" s="2"/>
      <c r="J11" s="158"/>
      <c r="K11" s="159">
        <v>42641</v>
      </c>
      <c r="L11" s="164">
        <v>42646</v>
      </c>
      <c r="M11" s="164">
        <v>42646</v>
      </c>
      <c r="N11" s="9">
        <f t="shared" si="0"/>
        <v>2</v>
      </c>
      <c r="O11" s="9">
        <f t="shared" si="1"/>
        <v>-28</v>
      </c>
      <c r="P11" s="9">
        <v>29</v>
      </c>
      <c r="Q11" s="162">
        <f t="shared" si="2"/>
        <v>2800</v>
      </c>
      <c r="R11" s="2">
        <f t="shared" si="3"/>
        <v>-39200</v>
      </c>
      <c r="S11" s="8"/>
    </row>
    <row r="12" spans="1:19" s="18" customFormat="1" ht="12.75">
      <c r="A12" s="158" t="s">
        <v>443</v>
      </c>
      <c r="B12" s="159">
        <v>42639</v>
      </c>
      <c r="C12" s="158" t="s">
        <v>444</v>
      </c>
      <c r="D12" s="160">
        <v>3338.39</v>
      </c>
      <c r="E12" s="2"/>
      <c r="F12" s="2"/>
      <c r="G12" s="2"/>
      <c r="H12" s="2"/>
      <c r="I12" s="2"/>
      <c r="J12" s="158"/>
      <c r="K12" s="159">
        <v>42641</v>
      </c>
      <c r="L12" s="164">
        <v>42646</v>
      </c>
      <c r="M12" s="164">
        <v>42646</v>
      </c>
      <c r="N12" s="9">
        <f t="shared" si="0"/>
        <v>2</v>
      </c>
      <c r="O12" s="9">
        <f t="shared" si="1"/>
        <v>-28</v>
      </c>
      <c r="P12" s="9">
        <v>29</v>
      </c>
      <c r="Q12" s="162">
        <f t="shared" si="2"/>
        <v>6676.78</v>
      </c>
      <c r="R12" s="2">
        <f t="shared" si="3"/>
        <v>-93474.92</v>
      </c>
      <c r="S12" s="8"/>
    </row>
    <row r="13" spans="1:19" s="18" customFormat="1" ht="12.75">
      <c r="A13" s="158" t="s">
        <v>445</v>
      </c>
      <c r="B13" s="159">
        <v>42627</v>
      </c>
      <c r="C13" s="158" t="s">
        <v>446</v>
      </c>
      <c r="D13" s="160">
        <v>126.22</v>
      </c>
      <c r="E13" s="2"/>
      <c r="F13" s="2"/>
      <c r="G13" s="2"/>
      <c r="H13" s="2"/>
      <c r="I13" s="2"/>
      <c r="J13" s="158"/>
      <c r="K13" s="159">
        <v>42641</v>
      </c>
      <c r="L13" s="164">
        <v>42647</v>
      </c>
      <c r="M13" s="164">
        <v>42647</v>
      </c>
      <c r="N13" s="9">
        <f t="shared" si="0"/>
        <v>2</v>
      </c>
      <c r="O13" s="9">
        <f t="shared" si="1"/>
        <v>-28</v>
      </c>
      <c r="P13" s="9">
        <v>22</v>
      </c>
      <c r="Q13" s="162">
        <f t="shared" si="2"/>
        <v>252.44</v>
      </c>
      <c r="R13" s="2">
        <f t="shared" si="3"/>
        <v>-3534.16</v>
      </c>
      <c r="S13" s="8"/>
    </row>
    <row r="14" spans="1:19" s="18" customFormat="1" ht="12.75">
      <c r="A14" s="158" t="s">
        <v>447</v>
      </c>
      <c r="B14" s="159">
        <v>42601</v>
      </c>
      <c r="C14" s="158" t="s">
        <v>448</v>
      </c>
      <c r="D14" s="160">
        <v>259.21</v>
      </c>
      <c r="E14" s="2"/>
      <c r="F14" s="2"/>
      <c r="G14" s="2"/>
      <c r="H14" s="2"/>
      <c r="I14" s="2"/>
      <c r="J14" s="158"/>
      <c r="K14" s="159">
        <v>42641</v>
      </c>
      <c r="L14" s="164">
        <v>42647</v>
      </c>
      <c r="M14" s="164">
        <v>42647</v>
      </c>
      <c r="N14" s="9">
        <f t="shared" si="0"/>
        <v>2</v>
      </c>
      <c r="O14" s="9">
        <f t="shared" si="1"/>
        <v>-28</v>
      </c>
      <c r="P14" s="9">
        <v>21</v>
      </c>
      <c r="Q14" s="162">
        <f t="shared" si="2"/>
        <v>518.42</v>
      </c>
      <c r="R14" s="2">
        <f t="shared" si="3"/>
        <v>-7257.879999999999</v>
      </c>
      <c r="S14" s="8"/>
    </row>
    <row r="15" spans="1:19" s="18" customFormat="1" ht="12.75">
      <c r="A15" s="158" t="s">
        <v>449</v>
      </c>
      <c r="B15" s="159">
        <v>42608</v>
      </c>
      <c r="C15" s="158" t="s">
        <v>450</v>
      </c>
      <c r="D15" s="160">
        <v>65.5</v>
      </c>
      <c r="E15" s="2"/>
      <c r="F15" s="2"/>
      <c r="G15" s="2"/>
      <c r="H15" s="2"/>
      <c r="I15" s="2"/>
      <c r="J15" s="158"/>
      <c r="K15" s="159">
        <v>42641</v>
      </c>
      <c r="L15" s="164">
        <v>42647</v>
      </c>
      <c r="M15" s="164">
        <v>42647</v>
      </c>
      <c r="N15" s="9">
        <f t="shared" si="0"/>
        <v>2</v>
      </c>
      <c r="O15" s="9">
        <f t="shared" si="1"/>
        <v>-28</v>
      </c>
      <c r="P15" s="9">
        <v>21</v>
      </c>
      <c r="Q15" s="162">
        <f t="shared" si="2"/>
        <v>131</v>
      </c>
      <c r="R15" s="2">
        <f t="shared" si="3"/>
        <v>-1834</v>
      </c>
      <c r="S15" s="8"/>
    </row>
    <row r="16" spans="1:19" s="18" customFormat="1" ht="12.75">
      <c r="A16" s="158" t="s">
        <v>451</v>
      </c>
      <c r="B16" s="159">
        <v>42613</v>
      </c>
      <c r="C16" s="158" t="s">
        <v>452</v>
      </c>
      <c r="D16" s="160">
        <v>52.8</v>
      </c>
      <c r="E16" s="2"/>
      <c r="F16" s="2"/>
      <c r="G16" s="2"/>
      <c r="H16" s="2"/>
      <c r="I16" s="2"/>
      <c r="J16" s="158"/>
      <c r="K16" s="159">
        <v>42641</v>
      </c>
      <c r="L16" s="164">
        <v>42647</v>
      </c>
      <c r="M16" s="164">
        <v>42647</v>
      </c>
      <c r="N16" s="9">
        <f t="shared" si="0"/>
        <v>2</v>
      </c>
      <c r="O16" s="9">
        <f t="shared" si="1"/>
        <v>-28</v>
      </c>
      <c r="P16" s="9">
        <v>29</v>
      </c>
      <c r="Q16" s="162">
        <f t="shared" si="2"/>
        <v>105.6</v>
      </c>
      <c r="R16" s="2">
        <f t="shared" si="3"/>
        <v>-1478.3999999999999</v>
      </c>
      <c r="S16" s="8"/>
    </row>
    <row r="17" spans="1:19" s="18" customFormat="1" ht="12.75">
      <c r="A17" s="158" t="s">
        <v>453</v>
      </c>
      <c r="B17" s="159">
        <v>42640</v>
      </c>
      <c r="C17" s="158" t="s">
        <v>454</v>
      </c>
      <c r="D17" s="160">
        <v>196.87</v>
      </c>
      <c r="E17" s="2"/>
      <c r="F17" s="2"/>
      <c r="G17" s="2"/>
      <c r="H17" s="2"/>
      <c r="I17" s="2"/>
      <c r="J17" s="158"/>
      <c r="K17" s="159"/>
      <c r="L17" s="164">
        <v>42648</v>
      </c>
      <c r="M17" s="164">
        <v>42648</v>
      </c>
      <c r="N17" s="9"/>
      <c r="O17" s="9"/>
      <c r="P17" s="9"/>
      <c r="Q17" s="162"/>
      <c r="R17" s="2"/>
      <c r="S17" s="8"/>
    </row>
    <row r="18" spans="1:19" s="18" customFormat="1" ht="12.75">
      <c r="A18" s="158" t="s">
        <v>455</v>
      </c>
      <c r="B18" s="159">
        <v>42621</v>
      </c>
      <c r="C18" s="158" t="s">
        <v>456</v>
      </c>
      <c r="D18" s="160">
        <v>242</v>
      </c>
      <c r="E18" s="2"/>
      <c r="F18" s="2"/>
      <c r="G18" s="2"/>
      <c r="H18" s="2"/>
      <c r="I18" s="2"/>
      <c r="J18" s="158"/>
      <c r="K18" s="159"/>
      <c r="L18" s="164">
        <v>42646</v>
      </c>
      <c r="M18" s="164">
        <v>42646</v>
      </c>
      <c r="N18" s="9"/>
      <c r="O18" s="9"/>
      <c r="P18" s="9"/>
      <c r="Q18" s="162"/>
      <c r="R18" s="2"/>
      <c r="S18" s="8"/>
    </row>
    <row r="19" spans="1:19" s="18" customFormat="1" ht="12.75">
      <c r="A19" s="158" t="s">
        <v>457</v>
      </c>
      <c r="B19" s="159">
        <v>42579</v>
      </c>
      <c r="C19" s="158" t="s">
        <v>458</v>
      </c>
      <c r="D19" s="160">
        <v>139.34</v>
      </c>
      <c r="E19" s="2"/>
      <c r="F19" s="2"/>
      <c r="G19" s="2"/>
      <c r="H19" s="2"/>
      <c r="I19" s="2"/>
      <c r="J19" s="158"/>
      <c r="K19" s="159"/>
      <c r="L19" s="164">
        <v>42646</v>
      </c>
      <c r="M19" s="164">
        <v>42646</v>
      </c>
      <c r="N19" s="9"/>
      <c r="O19" s="9"/>
      <c r="P19" s="9"/>
      <c r="Q19" s="162"/>
      <c r="R19" s="2"/>
      <c r="S19" s="8"/>
    </row>
    <row r="20" spans="1:19" s="18" customFormat="1" ht="12.75">
      <c r="A20" s="158" t="s">
        <v>459</v>
      </c>
      <c r="B20" s="159">
        <v>42632</v>
      </c>
      <c r="C20" s="158" t="s">
        <v>460</v>
      </c>
      <c r="D20" s="160">
        <v>2241.74</v>
      </c>
      <c r="E20" s="2"/>
      <c r="F20" s="2"/>
      <c r="G20" s="2"/>
      <c r="H20" s="2"/>
      <c r="I20" s="2"/>
      <c r="J20" s="158"/>
      <c r="K20" s="159"/>
      <c r="L20" s="164">
        <v>42647</v>
      </c>
      <c r="M20" s="164">
        <v>42647</v>
      </c>
      <c r="N20" s="9"/>
      <c r="O20" s="9"/>
      <c r="P20" s="9"/>
      <c r="Q20" s="162"/>
      <c r="R20" s="2"/>
      <c r="S20" s="8"/>
    </row>
    <row r="21" spans="1:19" s="18" customFormat="1" ht="12.75">
      <c r="A21" s="158" t="s">
        <v>461</v>
      </c>
      <c r="B21" s="159">
        <v>42634</v>
      </c>
      <c r="C21" s="158" t="s">
        <v>462</v>
      </c>
      <c r="D21" s="160">
        <v>151.25</v>
      </c>
      <c r="E21" s="2"/>
      <c r="F21" s="2"/>
      <c r="G21" s="2"/>
      <c r="H21" s="2"/>
      <c r="I21" s="2"/>
      <c r="J21" s="158"/>
      <c r="K21" s="159"/>
      <c r="L21" s="164">
        <v>42660</v>
      </c>
      <c r="M21" s="164">
        <v>42660</v>
      </c>
      <c r="N21" s="9"/>
      <c r="O21" s="9"/>
      <c r="P21" s="9"/>
      <c r="Q21" s="162"/>
      <c r="R21" s="2"/>
      <c r="S21" s="8"/>
    </row>
    <row r="22" spans="1:19" s="18" customFormat="1" ht="12.75">
      <c r="A22" s="158" t="s">
        <v>463</v>
      </c>
      <c r="B22" s="159">
        <v>42634</v>
      </c>
      <c r="C22" s="158" t="s">
        <v>464</v>
      </c>
      <c r="D22" s="160">
        <v>80.69</v>
      </c>
      <c r="E22" s="2"/>
      <c r="F22" s="2"/>
      <c r="G22" s="2"/>
      <c r="H22" s="2"/>
      <c r="I22" s="2"/>
      <c r="J22" s="158"/>
      <c r="K22" s="159"/>
      <c r="L22" s="164">
        <v>42660</v>
      </c>
      <c r="M22" s="164">
        <v>42660</v>
      </c>
      <c r="N22" s="9"/>
      <c r="O22" s="9"/>
      <c r="P22" s="9"/>
      <c r="Q22" s="162"/>
      <c r="R22" s="2"/>
      <c r="S22" s="8"/>
    </row>
    <row r="23" spans="1:19" s="18" customFormat="1" ht="12.75">
      <c r="A23" s="158" t="s">
        <v>465</v>
      </c>
      <c r="B23" s="159">
        <v>42643</v>
      </c>
      <c r="C23" s="158" t="s">
        <v>466</v>
      </c>
      <c r="D23" s="160">
        <v>119.19</v>
      </c>
      <c r="E23" s="2"/>
      <c r="F23" s="2"/>
      <c r="G23" s="2"/>
      <c r="H23" s="2"/>
      <c r="I23" s="2"/>
      <c r="J23" s="158"/>
      <c r="K23" s="159"/>
      <c r="L23" s="164">
        <v>42646</v>
      </c>
      <c r="M23" s="164">
        <v>42646</v>
      </c>
      <c r="N23" s="9"/>
      <c r="O23" s="9"/>
      <c r="P23" s="9"/>
      <c r="Q23" s="162"/>
      <c r="R23" s="2"/>
      <c r="S23" s="8"/>
    </row>
    <row r="24" spans="1:19" s="18" customFormat="1" ht="12.75">
      <c r="A24" s="158" t="s">
        <v>467</v>
      </c>
      <c r="B24" s="159">
        <v>42643</v>
      </c>
      <c r="C24" s="158" t="s">
        <v>468</v>
      </c>
      <c r="D24" s="160">
        <v>1475.81</v>
      </c>
      <c r="E24" s="2"/>
      <c r="F24" s="2"/>
      <c r="G24" s="2"/>
      <c r="H24" s="2"/>
      <c r="I24" s="2"/>
      <c r="J24" s="158"/>
      <c r="K24" s="159"/>
      <c r="L24" s="164">
        <v>42660</v>
      </c>
      <c r="M24" s="164">
        <v>42660</v>
      </c>
      <c r="N24" s="9"/>
      <c r="O24" s="9"/>
      <c r="P24" s="9"/>
      <c r="Q24" s="162"/>
      <c r="R24" s="2"/>
      <c r="S24" s="8"/>
    </row>
    <row r="25" spans="1:19" s="18" customFormat="1" ht="12.75">
      <c r="A25" s="158" t="s">
        <v>469</v>
      </c>
      <c r="B25" s="159">
        <v>42626</v>
      </c>
      <c r="C25" s="158" t="s">
        <v>470</v>
      </c>
      <c r="D25" s="160">
        <v>235.64</v>
      </c>
      <c r="E25" s="2"/>
      <c r="F25" s="2"/>
      <c r="G25" s="2"/>
      <c r="H25" s="2"/>
      <c r="I25" s="2"/>
      <c r="J25" s="158"/>
      <c r="K25" s="159"/>
      <c r="L25" s="164">
        <v>42654</v>
      </c>
      <c r="M25" s="164">
        <v>42654</v>
      </c>
      <c r="N25" s="9"/>
      <c r="O25" s="9"/>
      <c r="P25" s="9"/>
      <c r="Q25" s="162"/>
      <c r="R25" s="2"/>
      <c r="S25" s="8"/>
    </row>
    <row r="26" spans="1:19" s="18" customFormat="1" ht="12.75">
      <c r="A26" s="158" t="s">
        <v>471</v>
      </c>
      <c r="B26" s="159">
        <v>42643</v>
      </c>
      <c r="C26" s="158" t="s">
        <v>472</v>
      </c>
      <c r="D26" s="160">
        <v>1108.17</v>
      </c>
      <c r="E26" s="2"/>
      <c r="F26" s="2"/>
      <c r="G26" s="2"/>
      <c r="H26" s="2"/>
      <c r="I26" s="2"/>
      <c r="J26" s="158"/>
      <c r="K26" s="159"/>
      <c r="L26" s="164">
        <v>42646</v>
      </c>
      <c r="M26" s="164">
        <v>42646</v>
      </c>
      <c r="N26" s="9"/>
      <c r="O26" s="9"/>
      <c r="P26" s="9"/>
      <c r="Q26" s="162"/>
      <c r="R26" s="2"/>
      <c r="S26" s="8"/>
    </row>
    <row r="27" spans="1:19" s="18" customFormat="1" ht="12.75">
      <c r="A27" s="158" t="s">
        <v>473</v>
      </c>
      <c r="B27" s="159">
        <v>42642</v>
      </c>
      <c r="C27" s="158" t="s">
        <v>474</v>
      </c>
      <c r="D27" s="160">
        <v>160</v>
      </c>
      <c r="E27" s="2"/>
      <c r="F27" s="2"/>
      <c r="G27" s="2"/>
      <c r="H27" s="2"/>
      <c r="I27" s="2"/>
      <c r="J27" s="158"/>
      <c r="K27" s="159"/>
      <c r="L27" s="164">
        <v>42647</v>
      </c>
      <c r="M27" s="164">
        <v>42647</v>
      </c>
      <c r="N27" s="9"/>
      <c r="O27" s="9"/>
      <c r="P27" s="9"/>
      <c r="Q27" s="162"/>
      <c r="R27" s="2"/>
      <c r="S27" s="8"/>
    </row>
    <row r="28" spans="1:19" s="18" customFormat="1" ht="12.75">
      <c r="A28" s="158" t="s">
        <v>475</v>
      </c>
      <c r="B28" s="159">
        <v>42643</v>
      </c>
      <c r="C28" s="158" t="s">
        <v>476</v>
      </c>
      <c r="D28" s="160">
        <v>1668.35</v>
      </c>
      <c r="E28" s="2"/>
      <c r="F28" s="2"/>
      <c r="G28" s="2"/>
      <c r="H28" s="2"/>
      <c r="I28" s="2"/>
      <c r="J28" s="158"/>
      <c r="K28" s="159"/>
      <c r="L28" s="164">
        <v>42646</v>
      </c>
      <c r="M28" s="164">
        <v>42646</v>
      </c>
      <c r="N28" s="9"/>
      <c r="O28" s="9"/>
      <c r="P28" s="9"/>
      <c r="Q28" s="162"/>
      <c r="R28" s="2"/>
      <c r="S28" s="8"/>
    </row>
    <row r="29" spans="1:19" s="18" customFormat="1" ht="12.75">
      <c r="A29" s="158" t="s">
        <v>477</v>
      </c>
      <c r="B29" s="159">
        <v>42643</v>
      </c>
      <c r="C29" s="158" t="s">
        <v>478</v>
      </c>
      <c r="D29" s="160">
        <v>113.79</v>
      </c>
      <c r="E29" s="2"/>
      <c r="F29" s="2"/>
      <c r="G29" s="2"/>
      <c r="H29" s="2"/>
      <c r="I29" s="2"/>
      <c r="J29" s="158"/>
      <c r="K29" s="159"/>
      <c r="L29" s="164">
        <v>42653</v>
      </c>
      <c r="M29" s="164">
        <v>42653</v>
      </c>
      <c r="N29" s="9"/>
      <c r="O29" s="9"/>
      <c r="P29" s="9"/>
      <c r="Q29" s="162"/>
      <c r="R29" s="2"/>
      <c r="S29" s="8"/>
    </row>
    <row r="30" spans="1:19" s="18" customFormat="1" ht="12.75">
      <c r="A30" s="158" t="s">
        <v>479</v>
      </c>
      <c r="B30" s="159">
        <v>42643</v>
      </c>
      <c r="C30" s="158" t="s">
        <v>480</v>
      </c>
      <c r="D30" s="160">
        <v>236</v>
      </c>
      <c r="E30" s="2"/>
      <c r="F30" s="2"/>
      <c r="G30" s="2"/>
      <c r="H30" s="2"/>
      <c r="I30" s="2"/>
      <c r="J30" s="158"/>
      <c r="K30" s="159"/>
      <c r="L30" s="164">
        <v>42660</v>
      </c>
      <c r="M30" s="164">
        <v>42660</v>
      </c>
      <c r="N30" s="9"/>
      <c r="O30" s="9"/>
      <c r="P30" s="9"/>
      <c r="Q30" s="162"/>
      <c r="R30" s="2"/>
      <c r="S30" s="8"/>
    </row>
    <row r="31" spans="1:19" s="165" customFormat="1" ht="12.75">
      <c r="A31" s="158" t="s">
        <v>481</v>
      </c>
      <c r="B31" s="159">
        <v>42629</v>
      </c>
      <c r="C31" s="158" t="s">
        <v>482</v>
      </c>
      <c r="D31" s="160">
        <v>2232</v>
      </c>
      <c r="E31" s="2"/>
      <c r="F31" s="2"/>
      <c r="G31" s="2"/>
      <c r="H31" s="2"/>
      <c r="I31" s="2"/>
      <c r="J31" s="158"/>
      <c r="K31" s="159"/>
      <c r="L31" s="164">
        <v>42647</v>
      </c>
      <c r="M31" s="164">
        <v>42647</v>
      </c>
      <c r="N31" s="9"/>
      <c r="O31" s="9"/>
      <c r="P31" s="9"/>
      <c r="Q31" s="162"/>
      <c r="R31" s="2"/>
      <c r="S31" s="8"/>
    </row>
    <row r="32" spans="1:19" s="165" customFormat="1" ht="12.75">
      <c r="A32" s="158" t="s">
        <v>483</v>
      </c>
      <c r="B32" s="159">
        <v>42643</v>
      </c>
      <c r="C32" s="158" t="s">
        <v>484</v>
      </c>
      <c r="D32" s="160">
        <v>44.84</v>
      </c>
      <c r="E32" s="2"/>
      <c r="F32" s="2"/>
      <c r="G32" s="2"/>
      <c r="H32" s="2"/>
      <c r="I32" s="2"/>
      <c r="J32" s="158"/>
      <c r="K32" s="159"/>
      <c r="L32" s="164">
        <v>42653</v>
      </c>
      <c r="M32" s="164">
        <v>42653</v>
      </c>
      <c r="N32" s="9"/>
      <c r="O32" s="9"/>
      <c r="P32" s="9"/>
      <c r="Q32" s="162"/>
      <c r="R32" s="2"/>
      <c r="S32" s="8"/>
    </row>
    <row r="33" spans="1:19" s="165" customFormat="1" ht="12.75">
      <c r="A33" s="158" t="s">
        <v>485</v>
      </c>
      <c r="B33" s="159">
        <v>42641</v>
      </c>
      <c r="C33" s="158" t="s">
        <v>486</v>
      </c>
      <c r="D33" s="160">
        <v>119.89</v>
      </c>
      <c r="E33" s="2"/>
      <c r="F33" s="2"/>
      <c r="G33" s="2"/>
      <c r="H33" s="2"/>
      <c r="I33" s="2"/>
      <c r="J33" s="158"/>
      <c r="K33" s="159"/>
      <c r="L33" s="164">
        <v>42649</v>
      </c>
      <c r="M33" s="164">
        <v>42649</v>
      </c>
      <c r="N33" s="9"/>
      <c r="O33" s="9"/>
      <c r="P33" s="9"/>
      <c r="Q33" s="162"/>
      <c r="R33" s="2"/>
      <c r="S33" s="8"/>
    </row>
    <row r="34" spans="1:19" s="165" customFormat="1" ht="12.75">
      <c r="A34" s="158" t="s">
        <v>487</v>
      </c>
      <c r="B34" s="159">
        <v>42635</v>
      </c>
      <c r="C34" s="158" t="s">
        <v>488</v>
      </c>
      <c r="D34" s="160">
        <v>26.17</v>
      </c>
      <c r="E34" s="2"/>
      <c r="F34" s="2"/>
      <c r="G34" s="2"/>
      <c r="H34" s="2"/>
      <c r="I34" s="2"/>
      <c r="J34" s="158"/>
      <c r="K34" s="159"/>
      <c r="L34" s="164">
        <v>42653</v>
      </c>
      <c r="M34" s="164">
        <v>42653</v>
      </c>
      <c r="N34" s="9"/>
      <c r="O34" s="9"/>
      <c r="P34" s="9"/>
      <c r="Q34" s="162"/>
      <c r="R34" s="2"/>
      <c r="S34" s="8"/>
    </row>
    <row r="35" spans="1:19" s="165" customFormat="1" ht="12.75">
      <c r="A35" s="158" t="s">
        <v>489</v>
      </c>
      <c r="B35" s="159">
        <v>42643</v>
      </c>
      <c r="C35" s="158" t="s">
        <v>490</v>
      </c>
      <c r="D35" s="160">
        <v>1473.78</v>
      </c>
      <c r="E35" s="2"/>
      <c r="F35" s="2"/>
      <c r="G35" s="2"/>
      <c r="H35" s="2"/>
      <c r="I35" s="2"/>
      <c r="J35" s="158"/>
      <c r="K35" s="159"/>
      <c r="L35" s="164">
        <v>42660</v>
      </c>
      <c r="M35" s="164">
        <v>42660</v>
      </c>
      <c r="N35" s="9"/>
      <c r="O35" s="9"/>
      <c r="P35" s="9"/>
      <c r="Q35" s="162"/>
      <c r="R35" s="2"/>
      <c r="S35" s="8"/>
    </row>
    <row r="36" spans="1:19" s="165" customFormat="1" ht="12.75">
      <c r="A36" s="158" t="s">
        <v>491</v>
      </c>
      <c r="B36" s="159">
        <v>42643</v>
      </c>
      <c r="C36" s="158" t="s">
        <v>492</v>
      </c>
      <c r="D36" s="160">
        <v>395.67</v>
      </c>
      <c r="E36" s="2"/>
      <c r="F36" s="2"/>
      <c r="G36" s="2"/>
      <c r="H36" s="2"/>
      <c r="I36" s="2"/>
      <c r="J36" s="158"/>
      <c r="K36" s="159"/>
      <c r="L36" s="164">
        <v>42673</v>
      </c>
      <c r="M36" s="164">
        <v>42673</v>
      </c>
      <c r="N36" s="9"/>
      <c r="O36" s="9"/>
      <c r="P36" s="9"/>
      <c r="Q36" s="162"/>
      <c r="R36" s="2"/>
      <c r="S36" s="8"/>
    </row>
    <row r="37" spans="1:19" s="165" customFormat="1" ht="12.75">
      <c r="A37" s="158" t="s">
        <v>493</v>
      </c>
      <c r="B37" s="159">
        <v>42643</v>
      </c>
      <c r="C37" s="158" t="s">
        <v>494</v>
      </c>
      <c r="D37" s="160">
        <v>3388</v>
      </c>
      <c r="E37" s="2"/>
      <c r="F37" s="2"/>
      <c r="G37" s="2"/>
      <c r="H37" s="2"/>
      <c r="I37" s="2"/>
      <c r="J37" s="158"/>
      <c r="K37" s="159"/>
      <c r="L37" s="164">
        <v>42660</v>
      </c>
      <c r="M37" s="164">
        <v>42660</v>
      </c>
      <c r="N37" s="9"/>
      <c r="O37" s="9"/>
      <c r="P37" s="9"/>
      <c r="Q37" s="162"/>
      <c r="R37" s="2"/>
      <c r="S37" s="8"/>
    </row>
    <row r="38" spans="1:140" ht="11.25">
      <c r="A38" s="158" t="s">
        <v>495</v>
      </c>
      <c r="B38" s="159">
        <v>42643</v>
      </c>
      <c r="C38" s="158" t="s">
        <v>496</v>
      </c>
      <c r="D38" s="160">
        <v>2578.22</v>
      </c>
      <c r="J38" s="158"/>
      <c r="K38" s="159"/>
      <c r="L38" s="164">
        <v>42664</v>
      </c>
      <c r="M38" s="164">
        <v>42664</v>
      </c>
      <c r="N38" s="96"/>
      <c r="O38" s="96"/>
      <c r="P38" s="96"/>
      <c r="Q38" s="135"/>
      <c r="R38" s="135"/>
      <c r="T38" s="134"/>
      <c r="U38" s="134"/>
      <c r="EH38" s="2"/>
      <c r="EI38" s="2"/>
      <c r="EJ38" s="2"/>
    </row>
    <row r="39" spans="1:140" ht="11.25">
      <c r="A39" s="158" t="s">
        <v>497</v>
      </c>
      <c r="B39" s="159">
        <v>42643</v>
      </c>
      <c r="C39" s="158" t="s">
        <v>498</v>
      </c>
      <c r="D39" s="160">
        <v>20.19</v>
      </c>
      <c r="J39" s="158"/>
      <c r="K39" s="159"/>
      <c r="L39" s="164">
        <v>42673</v>
      </c>
      <c r="M39" s="164">
        <v>42673</v>
      </c>
      <c r="N39" s="96"/>
      <c r="O39" s="96"/>
      <c r="P39" s="96"/>
      <c r="Q39" s="135"/>
      <c r="R39" s="135"/>
      <c r="T39" s="134"/>
      <c r="U39" s="134"/>
      <c r="EH39" s="2"/>
      <c r="EI39" s="2"/>
      <c r="EJ39" s="2"/>
    </row>
    <row r="40" spans="1:140" ht="11.25">
      <c r="A40" s="158" t="s">
        <v>499</v>
      </c>
      <c r="B40" s="159">
        <v>42643</v>
      </c>
      <c r="C40" s="158" t="s">
        <v>500</v>
      </c>
      <c r="D40" s="160">
        <v>122.84</v>
      </c>
      <c r="J40" s="158"/>
      <c r="K40" s="159"/>
      <c r="L40" s="164">
        <v>42673</v>
      </c>
      <c r="M40" s="164">
        <v>42673</v>
      </c>
      <c r="N40" s="96"/>
      <c r="O40" s="96"/>
      <c r="P40" s="96"/>
      <c r="Q40" s="135"/>
      <c r="R40" s="135"/>
      <c r="T40" s="134"/>
      <c r="U40" s="134"/>
      <c r="EH40" s="2"/>
      <c r="EI40" s="2"/>
      <c r="EJ40" s="2"/>
    </row>
    <row r="41" spans="1:140" ht="11.25">
      <c r="A41" s="158" t="s">
        <v>501</v>
      </c>
      <c r="B41" s="159">
        <v>42643</v>
      </c>
      <c r="C41" s="158" t="s">
        <v>502</v>
      </c>
      <c r="D41" s="160">
        <v>760</v>
      </c>
      <c r="J41" s="158"/>
      <c r="K41" s="159"/>
      <c r="L41" s="164">
        <v>42673</v>
      </c>
      <c r="M41" s="164">
        <v>42673</v>
      </c>
      <c r="N41" s="96"/>
      <c r="O41" s="96"/>
      <c r="P41" s="96"/>
      <c r="Q41" s="135"/>
      <c r="R41" s="135"/>
      <c r="T41" s="134"/>
      <c r="U41" s="134"/>
      <c r="EH41" s="2"/>
      <c r="EI41" s="2"/>
      <c r="EJ41" s="2"/>
    </row>
    <row r="42" spans="1:140" ht="11.25">
      <c r="A42" s="158" t="s">
        <v>503</v>
      </c>
      <c r="B42" s="159">
        <v>42613</v>
      </c>
      <c r="C42" s="158" t="s">
        <v>504</v>
      </c>
      <c r="D42" s="160">
        <v>152.67</v>
      </c>
      <c r="J42" s="158"/>
      <c r="K42" s="159"/>
      <c r="L42" s="164">
        <v>42648</v>
      </c>
      <c r="M42" s="164">
        <v>42648</v>
      </c>
      <c r="N42" s="96"/>
      <c r="O42" s="96"/>
      <c r="P42" s="96"/>
      <c r="Q42" s="135"/>
      <c r="R42" s="135"/>
      <c r="T42" s="134"/>
      <c r="U42" s="134"/>
      <c r="EH42" s="2"/>
      <c r="EI42" s="2"/>
      <c r="EJ42" s="2"/>
    </row>
    <row r="43" spans="1:140" ht="11.25">
      <c r="A43" s="158" t="s">
        <v>505</v>
      </c>
      <c r="B43" s="159">
        <v>42613</v>
      </c>
      <c r="C43" s="158" t="s">
        <v>506</v>
      </c>
      <c r="D43" s="160">
        <v>87.83</v>
      </c>
      <c r="J43" s="158"/>
      <c r="K43" s="159"/>
      <c r="L43" s="164">
        <v>42648</v>
      </c>
      <c r="M43" s="164">
        <v>42648</v>
      </c>
      <c r="N43" s="96"/>
      <c r="O43" s="96"/>
      <c r="P43" s="96"/>
      <c r="Q43" s="135"/>
      <c r="R43" s="135"/>
      <c r="T43" s="134"/>
      <c r="U43" s="134"/>
      <c r="EH43" s="2"/>
      <c r="EI43" s="2"/>
      <c r="EJ43" s="2"/>
    </row>
    <row r="44" spans="1:140" ht="11.25">
      <c r="A44" s="158" t="s">
        <v>507</v>
      </c>
      <c r="B44" s="159">
        <v>42643</v>
      </c>
      <c r="C44" s="158" t="s">
        <v>508</v>
      </c>
      <c r="D44" s="160">
        <v>60.5</v>
      </c>
      <c r="J44" s="158"/>
      <c r="K44" s="159"/>
      <c r="L44" s="164">
        <v>42673</v>
      </c>
      <c r="M44" s="164">
        <v>42673</v>
      </c>
      <c r="T44" s="134"/>
      <c r="U44" s="134"/>
      <c r="EH44" s="2"/>
      <c r="EI44" s="2"/>
      <c r="EJ44" s="2"/>
    </row>
    <row r="45" spans="1:140" ht="11.25">
      <c r="A45" s="158" t="s">
        <v>509</v>
      </c>
      <c r="B45" s="159">
        <v>42643</v>
      </c>
      <c r="C45" s="158" t="s">
        <v>510</v>
      </c>
      <c r="D45" s="160">
        <v>1407.78</v>
      </c>
      <c r="J45" s="158"/>
      <c r="K45" s="159"/>
      <c r="L45" s="164">
        <v>42674</v>
      </c>
      <c r="M45" s="164">
        <v>42674</v>
      </c>
      <c r="T45" s="134"/>
      <c r="U45" s="134"/>
      <c r="EH45" s="2"/>
      <c r="EI45" s="2"/>
      <c r="EJ45" s="2"/>
    </row>
    <row r="46" spans="1:140" ht="11.25">
      <c r="A46" s="158" t="s">
        <v>511</v>
      </c>
      <c r="B46" s="159">
        <v>42613</v>
      </c>
      <c r="C46" s="158" t="s">
        <v>512</v>
      </c>
      <c r="D46" s="160">
        <v>676.12</v>
      </c>
      <c r="J46" s="158"/>
      <c r="L46" s="14">
        <v>42674</v>
      </c>
      <c r="M46" s="14">
        <v>42674</v>
      </c>
      <c r="T46" s="134"/>
      <c r="U46" s="134"/>
      <c r="EH46" s="2"/>
      <c r="EI46" s="2"/>
      <c r="EJ46" s="2"/>
    </row>
    <row r="47" spans="1:140" ht="11.25">
      <c r="A47" s="158" t="s">
        <v>513</v>
      </c>
      <c r="B47" s="159">
        <v>42643</v>
      </c>
      <c r="C47" s="158" t="s">
        <v>514</v>
      </c>
      <c r="D47" s="160">
        <v>434.7</v>
      </c>
      <c r="J47" s="158"/>
      <c r="T47" s="134"/>
      <c r="U47" s="134"/>
      <c r="EH47" s="2"/>
      <c r="EI47" s="2"/>
      <c r="EJ47" s="2"/>
    </row>
    <row r="48" spans="1:18" ht="12.75">
      <c r="A48" s="149"/>
      <c r="B48" s="145"/>
      <c r="C48" s="149"/>
      <c r="D48" s="146"/>
      <c r="G48" s="149"/>
      <c r="N48" s="96"/>
      <c r="O48" s="96"/>
      <c r="P48" s="96"/>
      <c r="Q48" s="135"/>
      <c r="R48" s="135"/>
    </row>
    <row r="49" spans="1:18" ht="12.75">
      <c r="A49" s="149"/>
      <c r="B49" s="145"/>
      <c r="C49" s="149"/>
      <c r="D49" s="150"/>
      <c r="G49" s="149"/>
      <c r="N49" s="96"/>
      <c r="O49" s="96"/>
      <c r="P49" s="96"/>
      <c r="Q49" s="135"/>
      <c r="R49" s="135"/>
    </row>
    <row r="50" spans="1:18" ht="12.75">
      <c r="A50" s="149"/>
      <c r="B50" s="145"/>
      <c r="C50" s="149"/>
      <c r="D50" s="150"/>
      <c r="G50" s="149"/>
      <c r="N50" s="96"/>
      <c r="O50" s="96"/>
      <c r="P50" s="96"/>
      <c r="Q50" s="135"/>
      <c r="R50" s="135"/>
    </row>
    <row r="51" spans="1:18" ht="12.75">
      <c r="A51" s="149"/>
      <c r="B51" s="145"/>
      <c r="C51" s="149"/>
      <c r="D51" s="149"/>
      <c r="G51" s="149"/>
      <c r="N51" s="96"/>
      <c r="O51" s="96"/>
      <c r="P51" s="96"/>
      <c r="Q51" s="135"/>
      <c r="R51" s="135"/>
    </row>
    <row r="52" spans="1:7" ht="12.75">
      <c r="A52" s="149"/>
      <c r="B52" s="145"/>
      <c r="D52" s="149"/>
      <c r="G52" s="149"/>
    </row>
    <row r="53" spans="2:7" ht="12.75">
      <c r="B53" s="2"/>
      <c r="D53" s="149"/>
      <c r="G53" s="149"/>
    </row>
    <row r="54" spans="2:7" ht="12.75">
      <c r="B54" s="2"/>
      <c r="D54" s="149"/>
      <c r="G54" s="149"/>
    </row>
    <row r="55" spans="2:7" ht="12.75">
      <c r="B55" s="2"/>
      <c r="D55" s="149"/>
      <c r="G55" s="149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2014-12-11T08:00:00Z</cp:lastPrinted>
  <dcterms:created xsi:type="dcterms:W3CDTF">2013-12-21T08:23:27Z</dcterms:created>
  <dcterms:modified xsi:type="dcterms:W3CDTF">2016-10-20T07:46:56Z</dcterms:modified>
  <cp:category/>
  <cp:version/>
  <cp:contentType/>
  <cp:contentStatus/>
</cp:coreProperties>
</file>