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XCEL\Contabilidad\Contabilidad\BERANKORTASUNA\2022\OARSOALDEA\4go HIRUHILEKOA\"/>
    </mc:Choice>
  </mc:AlternateContent>
  <xr:revisionPtr revIDLastSave="0" documentId="13_ncr:1_{CA050613-509E-4CF4-83F9-5313AFB124AE}" xr6:coauthVersionLast="47" xr6:coauthVersionMax="47" xr10:uidLastSave="{00000000-0000-0000-0000-000000000000}"/>
  <bookViews>
    <workbookView xWindow="-120" yWindow="-120" windowWidth="29040" windowHeight="15720" tabRatio="566" xr2:uid="{00000000-000D-0000-FFFF-FFFF00000000}"/>
  </bookViews>
  <sheets>
    <sheet name="INFORME" sheetId="5" r:id="rId1"/>
    <sheet name="detalle1" sheetId="2" r:id="rId2"/>
    <sheet name="detalle2" sheetId="3" r:id="rId3"/>
    <sheet name="detalle32" sheetId="4" r:id="rId4"/>
  </sheets>
  <externalReferences>
    <externalReference r:id="rId5"/>
    <externalReference r:id="rId6"/>
  </externalReferences>
  <definedNames>
    <definedName name="_xlnm.Print_Area" localSheetId="1">detalle1!$A$1:$R$6</definedName>
    <definedName name="_xlnm.Print_Area" localSheetId="2">detalle2!$A$1:$R$7</definedName>
    <definedName name="_xlnm.Print_Area" localSheetId="3">detalle32!$A$1:$P$7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5" i="5" l="1"/>
  <c r="F55" i="5"/>
  <c r="G53" i="5"/>
  <c r="F53" i="5"/>
  <c r="G51" i="5"/>
  <c r="F51" i="5"/>
  <c r="G50" i="5"/>
  <c r="F50" i="5"/>
  <c r="G23" i="5"/>
  <c r="F23" i="5"/>
  <c r="F22" i="5" s="1"/>
  <c r="G21" i="5"/>
  <c r="F21" i="5"/>
  <c r="G19" i="5"/>
  <c r="F19" i="5"/>
  <c r="G18" i="5"/>
  <c r="F18" i="5"/>
  <c r="G17" i="5"/>
  <c r="F17" i="5"/>
  <c r="C71" i="3"/>
  <c r="D70" i="3"/>
  <c r="D69" i="3"/>
  <c r="D68" i="3"/>
  <c r="D67" i="3"/>
  <c r="D71" i="3" s="1"/>
  <c r="D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C294" i="2"/>
  <c r="D293" i="2"/>
  <c r="D292" i="2"/>
  <c r="D291" i="2"/>
  <c r="D290" i="2"/>
  <c r="D289" i="2"/>
  <c r="D294" i="2" s="1"/>
  <c r="D286" i="2"/>
  <c r="R285" i="2"/>
  <c r="S285" i="2" s="1"/>
  <c r="U285" i="2" s="1"/>
  <c r="N285" i="2"/>
  <c r="Q285" i="2" s="1"/>
  <c r="S284" i="2"/>
  <c r="U284" i="2" s="1"/>
  <c r="R284" i="2"/>
  <c r="N284" i="2"/>
  <c r="Q284" i="2" s="1"/>
  <c r="R283" i="2"/>
  <c r="S283" i="2" s="1"/>
  <c r="U283" i="2" s="1"/>
  <c r="N283" i="2"/>
  <c r="Q283" i="2" s="1"/>
  <c r="T283" i="2" s="1"/>
  <c r="R282" i="2"/>
  <c r="S282" i="2" s="1"/>
  <c r="U282" i="2" s="1"/>
  <c r="P282" i="2"/>
  <c r="N282" i="2"/>
  <c r="Q282" i="2" s="1"/>
  <c r="R281" i="2"/>
  <c r="S281" i="2" s="1"/>
  <c r="U281" i="2" s="1"/>
  <c r="N281" i="2"/>
  <c r="Q281" i="2" s="1"/>
  <c r="V280" i="2"/>
  <c r="R280" i="2"/>
  <c r="S280" i="2" s="1"/>
  <c r="U280" i="2" s="1"/>
  <c r="N280" i="2"/>
  <c r="Q280" i="2" s="1"/>
  <c r="T280" i="2" s="1"/>
  <c r="R279" i="2"/>
  <c r="S279" i="2" s="1"/>
  <c r="U279" i="2" s="1"/>
  <c r="N279" i="2"/>
  <c r="Q279" i="2" s="1"/>
  <c r="R278" i="2"/>
  <c r="S278" i="2" s="1"/>
  <c r="U278" i="2" s="1"/>
  <c r="N278" i="2"/>
  <c r="Q278" i="2" s="1"/>
  <c r="R277" i="2"/>
  <c r="S277" i="2" s="1"/>
  <c r="U277" i="2" s="1"/>
  <c r="N277" i="2"/>
  <c r="Q277" i="2" s="1"/>
  <c r="T277" i="2" s="1"/>
  <c r="R276" i="2"/>
  <c r="S276" i="2" s="1"/>
  <c r="U276" i="2" s="1"/>
  <c r="N276" i="2"/>
  <c r="Q276" i="2" s="1"/>
  <c r="R275" i="2"/>
  <c r="S275" i="2" s="1"/>
  <c r="U275" i="2" s="1"/>
  <c r="N275" i="2"/>
  <c r="Q275" i="2" s="1"/>
  <c r="R274" i="2"/>
  <c r="S274" i="2" s="1"/>
  <c r="U274" i="2" s="1"/>
  <c r="N274" i="2"/>
  <c r="Q274" i="2" s="1"/>
  <c r="T274" i="2" s="1"/>
  <c r="R273" i="2"/>
  <c r="S273" i="2" s="1"/>
  <c r="U273" i="2" s="1"/>
  <c r="N273" i="2"/>
  <c r="Q273" i="2" s="1"/>
  <c r="R272" i="2"/>
  <c r="S272" i="2" s="1"/>
  <c r="U272" i="2" s="1"/>
  <c r="N272" i="2"/>
  <c r="Q272" i="2" s="1"/>
  <c r="R271" i="2"/>
  <c r="S271" i="2" s="1"/>
  <c r="U271" i="2" s="1"/>
  <c r="N271" i="2"/>
  <c r="Q271" i="2" s="1"/>
  <c r="T271" i="2" s="1"/>
  <c r="R270" i="2"/>
  <c r="S270" i="2" s="1"/>
  <c r="U270" i="2" s="1"/>
  <c r="N270" i="2"/>
  <c r="Q270" i="2" s="1"/>
  <c r="R269" i="2"/>
  <c r="S269" i="2" s="1"/>
  <c r="U269" i="2" s="1"/>
  <c r="N269" i="2"/>
  <c r="Q269" i="2" s="1"/>
  <c r="R268" i="2"/>
  <c r="S268" i="2" s="1"/>
  <c r="U268" i="2" s="1"/>
  <c r="N268" i="2"/>
  <c r="Q268" i="2" s="1"/>
  <c r="T268" i="2" s="1"/>
  <c r="R267" i="2"/>
  <c r="S267" i="2" s="1"/>
  <c r="U267" i="2" s="1"/>
  <c r="P267" i="2"/>
  <c r="N267" i="2"/>
  <c r="Q267" i="2" s="1"/>
  <c r="R266" i="2"/>
  <c r="S266" i="2" s="1"/>
  <c r="U266" i="2" s="1"/>
  <c r="N266" i="2"/>
  <c r="Q266" i="2" s="1"/>
  <c r="V265" i="2"/>
  <c r="R265" i="2"/>
  <c r="S265" i="2" s="1"/>
  <c r="U265" i="2" s="1"/>
  <c r="N265" i="2"/>
  <c r="Q265" i="2" s="1"/>
  <c r="T265" i="2" s="1"/>
  <c r="R264" i="2"/>
  <c r="S264" i="2" s="1"/>
  <c r="U264" i="2" s="1"/>
  <c r="N264" i="2"/>
  <c r="Q264" i="2" s="1"/>
  <c r="R263" i="2"/>
  <c r="S263" i="2" s="1"/>
  <c r="U263" i="2" s="1"/>
  <c r="N263" i="2"/>
  <c r="Q263" i="2" s="1"/>
  <c r="R262" i="2"/>
  <c r="S262" i="2" s="1"/>
  <c r="U262" i="2" s="1"/>
  <c r="N262" i="2"/>
  <c r="Q262" i="2" s="1"/>
  <c r="T262" i="2" s="1"/>
  <c r="R261" i="2"/>
  <c r="S261" i="2" s="1"/>
  <c r="U261" i="2" s="1"/>
  <c r="N261" i="2"/>
  <c r="Q261" i="2" s="1"/>
  <c r="R260" i="2"/>
  <c r="S260" i="2" s="1"/>
  <c r="U260" i="2" s="1"/>
  <c r="N260" i="2"/>
  <c r="Q260" i="2" s="1"/>
  <c r="R259" i="2"/>
  <c r="S259" i="2" s="1"/>
  <c r="U259" i="2" s="1"/>
  <c r="N259" i="2"/>
  <c r="Q259" i="2" s="1"/>
  <c r="T259" i="2" s="1"/>
  <c r="R258" i="2"/>
  <c r="S258" i="2" s="1"/>
  <c r="U258" i="2" s="1"/>
  <c r="N258" i="2"/>
  <c r="Q258" i="2" s="1"/>
  <c r="R257" i="2"/>
  <c r="S257" i="2" s="1"/>
  <c r="U257" i="2" s="1"/>
  <c r="N257" i="2"/>
  <c r="Q257" i="2" s="1"/>
  <c r="R256" i="2"/>
  <c r="S256" i="2" s="1"/>
  <c r="U256" i="2" s="1"/>
  <c r="N256" i="2"/>
  <c r="Q256" i="2" s="1"/>
  <c r="T256" i="2" s="1"/>
  <c r="R255" i="2"/>
  <c r="S255" i="2" s="1"/>
  <c r="U255" i="2" s="1"/>
  <c r="N255" i="2"/>
  <c r="Q255" i="2" s="1"/>
  <c r="R254" i="2"/>
  <c r="S254" i="2" s="1"/>
  <c r="U254" i="2" s="1"/>
  <c r="N254" i="2"/>
  <c r="Q254" i="2" s="1"/>
  <c r="R253" i="2"/>
  <c r="S253" i="2" s="1"/>
  <c r="U253" i="2" s="1"/>
  <c r="N253" i="2"/>
  <c r="Q253" i="2" s="1"/>
  <c r="T253" i="2" s="1"/>
  <c r="R252" i="2"/>
  <c r="S252" i="2" s="1"/>
  <c r="U252" i="2" s="1"/>
  <c r="N252" i="2"/>
  <c r="Q252" i="2" s="1"/>
  <c r="S251" i="2"/>
  <c r="U251" i="2" s="1"/>
  <c r="R251" i="2"/>
  <c r="N251" i="2"/>
  <c r="P251" i="2" s="1"/>
  <c r="R250" i="2"/>
  <c r="S250" i="2" s="1"/>
  <c r="U250" i="2" s="1"/>
  <c r="N250" i="2"/>
  <c r="Q250" i="2" s="1"/>
  <c r="T250" i="2" s="1"/>
  <c r="R249" i="2"/>
  <c r="S249" i="2" s="1"/>
  <c r="U249" i="2" s="1"/>
  <c r="N249" i="2"/>
  <c r="Q249" i="2" s="1"/>
  <c r="R248" i="2"/>
  <c r="S248" i="2" s="1"/>
  <c r="U248" i="2" s="1"/>
  <c r="N248" i="2"/>
  <c r="Q248" i="2" s="1"/>
  <c r="R247" i="2"/>
  <c r="S247" i="2" s="1"/>
  <c r="U247" i="2" s="1"/>
  <c r="N247" i="2"/>
  <c r="Q247" i="2" s="1"/>
  <c r="T247" i="2" s="1"/>
  <c r="R246" i="2"/>
  <c r="S246" i="2" s="1"/>
  <c r="U246" i="2" s="1"/>
  <c r="N246" i="2"/>
  <c r="Q246" i="2" s="1"/>
  <c r="R245" i="2"/>
  <c r="S245" i="2" s="1"/>
  <c r="U245" i="2" s="1"/>
  <c r="N245" i="2"/>
  <c r="Q245" i="2" s="1"/>
  <c r="R244" i="2"/>
  <c r="S244" i="2" s="1"/>
  <c r="U244" i="2" s="1"/>
  <c r="N244" i="2"/>
  <c r="Q244" i="2" s="1"/>
  <c r="T244" i="2" s="1"/>
  <c r="R243" i="2"/>
  <c r="S243" i="2" s="1"/>
  <c r="U243" i="2" s="1"/>
  <c r="P243" i="2"/>
  <c r="N243" i="2"/>
  <c r="Q243" i="2" s="1"/>
  <c r="R242" i="2"/>
  <c r="S242" i="2" s="1"/>
  <c r="U242" i="2" s="1"/>
  <c r="N242" i="2"/>
  <c r="Q242" i="2" s="1"/>
  <c r="R241" i="2"/>
  <c r="S241" i="2" s="1"/>
  <c r="U241" i="2" s="1"/>
  <c r="N241" i="2"/>
  <c r="Q241" i="2" s="1"/>
  <c r="R240" i="2"/>
  <c r="S240" i="2" s="1"/>
  <c r="U240" i="2" s="1"/>
  <c r="N240" i="2"/>
  <c r="Q240" i="2" s="1"/>
  <c r="R239" i="2"/>
  <c r="S239" i="2" s="1"/>
  <c r="U239" i="2" s="1"/>
  <c r="N239" i="2"/>
  <c r="Q239" i="2" s="1"/>
  <c r="R238" i="2"/>
  <c r="S238" i="2" s="1"/>
  <c r="U238" i="2" s="1"/>
  <c r="N238" i="2"/>
  <c r="Q238" i="2" s="1"/>
  <c r="T238" i="2" s="1"/>
  <c r="R237" i="2"/>
  <c r="S237" i="2" s="1"/>
  <c r="U237" i="2" s="1"/>
  <c r="N237" i="2"/>
  <c r="Q237" i="2" s="1"/>
  <c r="R236" i="2"/>
  <c r="S236" i="2" s="1"/>
  <c r="U236" i="2" s="1"/>
  <c r="N236" i="2"/>
  <c r="Q236" i="2" s="1"/>
  <c r="R235" i="2"/>
  <c r="S235" i="2" s="1"/>
  <c r="U235" i="2" s="1"/>
  <c r="N235" i="2"/>
  <c r="Q235" i="2" s="1"/>
  <c r="R234" i="2"/>
  <c r="S234" i="2" s="1"/>
  <c r="U234" i="2" s="1"/>
  <c r="P234" i="2"/>
  <c r="N234" i="2"/>
  <c r="Q234" i="2" s="1"/>
  <c r="R233" i="2"/>
  <c r="S233" i="2" s="1"/>
  <c r="U233" i="2" s="1"/>
  <c r="N233" i="2"/>
  <c r="Q233" i="2" s="1"/>
  <c r="R232" i="2"/>
  <c r="S232" i="2" s="1"/>
  <c r="U232" i="2" s="1"/>
  <c r="N232" i="2"/>
  <c r="Q232" i="2" s="1"/>
  <c r="T232" i="2" s="1"/>
  <c r="R231" i="2"/>
  <c r="S231" i="2" s="1"/>
  <c r="U231" i="2" s="1"/>
  <c r="N231" i="2"/>
  <c r="Q231" i="2" s="1"/>
  <c r="R230" i="2"/>
  <c r="S230" i="2" s="1"/>
  <c r="U230" i="2" s="1"/>
  <c r="N230" i="2"/>
  <c r="Q230" i="2" s="1"/>
  <c r="R229" i="2"/>
  <c r="S229" i="2" s="1"/>
  <c r="U229" i="2" s="1"/>
  <c r="N229" i="2"/>
  <c r="Q229" i="2" s="1"/>
  <c r="R228" i="2"/>
  <c r="S228" i="2" s="1"/>
  <c r="U228" i="2" s="1"/>
  <c r="N228" i="2"/>
  <c r="Q228" i="2" s="1"/>
  <c r="R227" i="2"/>
  <c r="S227" i="2" s="1"/>
  <c r="U227" i="2" s="1"/>
  <c r="N227" i="2"/>
  <c r="Q227" i="2" s="1"/>
  <c r="V226" i="2"/>
  <c r="R226" i="2"/>
  <c r="S226" i="2" s="1"/>
  <c r="U226" i="2" s="1"/>
  <c r="N226" i="2"/>
  <c r="Q226" i="2" s="1"/>
  <c r="T226" i="2" s="1"/>
  <c r="R225" i="2"/>
  <c r="S225" i="2" s="1"/>
  <c r="U225" i="2" s="1"/>
  <c r="N225" i="2"/>
  <c r="Q225" i="2" s="1"/>
  <c r="S224" i="2"/>
  <c r="U224" i="2" s="1"/>
  <c r="R224" i="2"/>
  <c r="N224" i="2"/>
  <c r="Q224" i="2" s="1"/>
  <c r="R223" i="2"/>
  <c r="S223" i="2" s="1"/>
  <c r="U223" i="2" s="1"/>
  <c r="N223" i="2"/>
  <c r="Q223" i="2" s="1"/>
  <c r="R222" i="2"/>
  <c r="S222" i="2" s="1"/>
  <c r="U222" i="2" s="1"/>
  <c r="P222" i="2"/>
  <c r="N222" i="2"/>
  <c r="Q222" i="2" s="1"/>
  <c r="R221" i="2"/>
  <c r="S221" i="2" s="1"/>
  <c r="U221" i="2" s="1"/>
  <c r="N221" i="2"/>
  <c r="Q221" i="2" s="1"/>
  <c r="V220" i="2"/>
  <c r="R220" i="2"/>
  <c r="S220" i="2" s="1"/>
  <c r="U220" i="2" s="1"/>
  <c r="N220" i="2"/>
  <c r="Q220" i="2" s="1"/>
  <c r="T220" i="2" s="1"/>
  <c r="R219" i="2"/>
  <c r="S219" i="2" s="1"/>
  <c r="U219" i="2" s="1"/>
  <c r="N219" i="2"/>
  <c r="Q219" i="2" s="1"/>
  <c r="R218" i="2"/>
  <c r="S218" i="2" s="1"/>
  <c r="U218" i="2" s="1"/>
  <c r="P218" i="2"/>
  <c r="N218" i="2"/>
  <c r="Q218" i="2" s="1"/>
  <c r="R217" i="2"/>
  <c r="S217" i="2" s="1"/>
  <c r="U217" i="2" s="1"/>
  <c r="N217" i="2"/>
  <c r="Q217" i="2" s="1"/>
  <c r="T217" i="2" s="1"/>
  <c r="R216" i="2"/>
  <c r="S216" i="2" s="1"/>
  <c r="U216" i="2" s="1"/>
  <c r="P216" i="2"/>
  <c r="N216" i="2"/>
  <c r="Q216" i="2" s="1"/>
  <c r="R215" i="2"/>
  <c r="S215" i="2" s="1"/>
  <c r="U215" i="2" s="1"/>
  <c r="N215" i="2"/>
  <c r="Q215" i="2" s="1"/>
  <c r="V214" i="2"/>
  <c r="R214" i="2"/>
  <c r="S214" i="2" s="1"/>
  <c r="U214" i="2" s="1"/>
  <c r="N214" i="2"/>
  <c r="Q214" i="2" s="1"/>
  <c r="T214" i="2" s="1"/>
  <c r="R213" i="2"/>
  <c r="S213" i="2" s="1"/>
  <c r="U213" i="2" s="1"/>
  <c r="N213" i="2"/>
  <c r="Q213" i="2" s="1"/>
  <c r="R212" i="2"/>
  <c r="S212" i="2" s="1"/>
  <c r="U212" i="2" s="1"/>
  <c r="N212" i="2"/>
  <c r="Q212" i="2" s="1"/>
  <c r="R211" i="2"/>
  <c r="S211" i="2" s="1"/>
  <c r="U211" i="2" s="1"/>
  <c r="N211" i="2"/>
  <c r="Q211" i="2" s="1"/>
  <c r="T211" i="2" s="1"/>
  <c r="R210" i="2"/>
  <c r="S210" i="2" s="1"/>
  <c r="U210" i="2" s="1"/>
  <c r="Q210" i="2"/>
  <c r="V210" i="2" s="1"/>
  <c r="N210" i="2"/>
  <c r="P210" i="2" s="1"/>
  <c r="R209" i="2"/>
  <c r="S209" i="2" s="1"/>
  <c r="U209" i="2" s="1"/>
  <c r="N209" i="2"/>
  <c r="Q209" i="2" s="1"/>
  <c r="T209" i="2" s="1"/>
  <c r="R208" i="2"/>
  <c r="S208" i="2" s="1"/>
  <c r="U208" i="2" s="1"/>
  <c r="N208" i="2"/>
  <c r="Q208" i="2" s="1"/>
  <c r="T208" i="2" s="1"/>
  <c r="R207" i="2"/>
  <c r="S207" i="2" s="1"/>
  <c r="U207" i="2" s="1"/>
  <c r="N207" i="2"/>
  <c r="Q207" i="2" s="1"/>
  <c r="R206" i="2"/>
  <c r="S206" i="2" s="1"/>
  <c r="U206" i="2" s="1"/>
  <c r="N206" i="2"/>
  <c r="Q206" i="2" s="1"/>
  <c r="R205" i="2"/>
  <c r="S205" i="2" s="1"/>
  <c r="U205" i="2" s="1"/>
  <c r="N205" i="2"/>
  <c r="Q205" i="2" s="1"/>
  <c r="R204" i="2"/>
  <c r="S204" i="2" s="1"/>
  <c r="U204" i="2" s="1"/>
  <c r="N204" i="2"/>
  <c r="Q204" i="2" s="1"/>
  <c r="R203" i="2"/>
  <c r="S203" i="2" s="1"/>
  <c r="U203" i="2" s="1"/>
  <c r="N203" i="2"/>
  <c r="Q203" i="2" s="1"/>
  <c r="T203" i="2" s="1"/>
  <c r="R202" i="2"/>
  <c r="S202" i="2" s="1"/>
  <c r="U202" i="2" s="1"/>
  <c r="P202" i="2"/>
  <c r="N202" i="2"/>
  <c r="Q202" i="2" s="1"/>
  <c r="R201" i="2"/>
  <c r="S201" i="2" s="1"/>
  <c r="U201" i="2" s="1"/>
  <c r="N201" i="2"/>
  <c r="Q201" i="2" s="1"/>
  <c r="V200" i="2"/>
  <c r="R200" i="2"/>
  <c r="S200" i="2" s="1"/>
  <c r="U200" i="2" s="1"/>
  <c r="N200" i="2"/>
  <c r="Q200" i="2" s="1"/>
  <c r="T200" i="2" s="1"/>
  <c r="R199" i="2"/>
  <c r="S199" i="2" s="1"/>
  <c r="U199" i="2" s="1"/>
  <c r="N199" i="2"/>
  <c r="Q199" i="2" s="1"/>
  <c r="T199" i="2" s="1"/>
  <c r="R198" i="2"/>
  <c r="S198" i="2" s="1"/>
  <c r="U198" i="2" s="1"/>
  <c r="N198" i="2"/>
  <c r="Q198" i="2" s="1"/>
  <c r="R197" i="2"/>
  <c r="S197" i="2" s="1"/>
  <c r="U197" i="2" s="1"/>
  <c r="N197" i="2"/>
  <c r="Q197" i="2" s="1"/>
  <c r="T197" i="2" s="1"/>
  <c r="R196" i="2"/>
  <c r="S196" i="2" s="1"/>
  <c r="U196" i="2" s="1"/>
  <c r="N196" i="2"/>
  <c r="P196" i="2" s="1"/>
  <c r="R195" i="2"/>
  <c r="S195" i="2" s="1"/>
  <c r="U195" i="2" s="1"/>
  <c r="N195" i="2"/>
  <c r="Q195" i="2" s="1"/>
  <c r="V194" i="2"/>
  <c r="R194" i="2"/>
  <c r="S194" i="2" s="1"/>
  <c r="U194" i="2" s="1"/>
  <c r="N194" i="2"/>
  <c r="Q194" i="2" s="1"/>
  <c r="T194" i="2" s="1"/>
  <c r="R193" i="2"/>
  <c r="S193" i="2" s="1"/>
  <c r="U193" i="2" s="1"/>
  <c r="Q193" i="2"/>
  <c r="T193" i="2" s="1"/>
  <c r="P193" i="2"/>
  <c r="N193" i="2"/>
  <c r="R192" i="2"/>
  <c r="S192" i="2" s="1"/>
  <c r="U192" i="2" s="1"/>
  <c r="N192" i="2"/>
  <c r="Q192" i="2" s="1"/>
  <c r="R191" i="2"/>
  <c r="S191" i="2" s="1"/>
  <c r="U191" i="2" s="1"/>
  <c r="N191" i="2"/>
  <c r="Q191" i="2" s="1"/>
  <c r="V190" i="2"/>
  <c r="R190" i="2"/>
  <c r="S190" i="2" s="1"/>
  <c r="U190" i="2" s="1"/>
  <c r="N190" i="2"/>
  <c r="Q190" i="2" s="1"/>
  <c r="T190" i="2" s="1"/>
  <c r="R189" i="2"/>
  <c r="S189" i="2" s="1"/>
  <c r="U189" i="2" s="1"/>
  <c r="N189" i="2"/>
  <c r="Q189" i="2" s="1"/>
  <c r="V188" i="2"/>
  <c r="R188" i="2"/>
  <c r="S188" i="2" s="1"/>
  <c r="U188" i="2" s="1"/>
  <c r="N188" i="2"/>
  <c r="Q188" i="2" s="1"/>
  <c r="T188" i="2" s="1"/>
  <c r="R187" i="2"/>
  <c r="S187" i="2" s="1"/>
  <c r="U187" i="2" s="1"/>
  <c r="N187" i="2"/>
  <c r="Q187" i="2" s="1"/>
  <c r="R186" i="2"/>
  <c r="S186" i="2" s="1"/>
  <c r="U186" i="2" s="1"/>
  <c r="N186" i="2"/>
  <c r="Q186" i="2" s="1"/>
  <c r="R185" i="2"/>
  <c r="S185" i="2" s="1"/>
  <c r="U185" i="2" s="1"/>
  <c r="P185" i="2"/>
  <c r="N185" i="2"/>
  <c r="Q185" i="2" s="1"/>
  <c r="T185" i="2" s="1"/>
  <c r="V184" i="2"/>
  <c r="R184" i="2"/>
  <c r="S184" i="2" s="1"/>
  <c r="U184" i="2" s="1"/>
  <c r="N184" i="2"/>
  <c r="Q184" i="2" s="1"/>
  <c r="T184" i="2" s="1"/>
  <c r="R183" i="2"/>
  <c r="S183" i="2" s="1"/>
  <c r="U183" i="2" s="1"/>
  <c r="N183" i="2"/>
  <c r="Q183" i="2" s="1"/>
  <c r="R182" i="2"/>
  <c r="S182" i="2" s="1"/>
  <c r="U182" i="2" s="1"/>
  <c r="Q182" i="2"/>
  <c r="T182" i="2" s="1"/>
  <c r="N182" i="2"/>
  <c r="P182" i="2" s="1"/>
  <c r="R181" i="2"/>
  <c r="S181" i="2" s="1"/>
  <c r="U181" i="2" s="1"/>
  <c r="N181" i="2"/>
  <c r="Q181" i="2" s="1"/>
  <c r="R180" i="2"/>
  <c r="S180" i="2" s="1"/>
  <c r="U180" i="2" s="1"/>
  <c r="N180" i="2"/>
  <c r="Q180" i="2" s="1"/>
  <c r="R179" i="2"/>
  <c r="S179" i="2" s="1"/>
  <c r="U179" i="2" s="1"/>
  <c r="N179" i="2"/>
  <c r="Q179" i="2" s="1"/>
  <c r="R178" i="2"/>
  <c r="S178" i="2" s="1"/>
  <c r="U178" i="2" s="1"/>
  <c r="N178" i="2"/>
  <c r="Q178" i="2" s="1"/>
  <c r="T178" i="2" s="1"/>
  <c r="R177" i="2"/>
  <c r="S177" i="2" s="1"/>
  <c r="U177" i="2" s="1"/>
  <c r="N177" i="2"/>
  <c r="Q177" i="2" s="1"/>
  <c r="R176" i="2"/>
  <c r="S176" i="2" s="1"/>
  <c r="U176" i="2" s="1"/>
  <c r="N176" i="2"/>
  <c r="Q176" i="2" s="1"/>
  <c r="T176" i="2" s="1"/>
  <c r="R175" i="2"/>
  <c r="S175" i="2" s="1"/>
  <c r="U175" i="2" s="1"/>
  <c r="P175" i="2"/>
  <c r="N175" i="2"/>
  <c r="Q175" i="2" s="1"/>
  <c r="R174" i="2"/>
  <c r="S174" i="2" s="1"/>
  <c r="U174" i="2" s="1"/>
  <c r="N174" i="2"/>
  <c r="Q174" i="2" s="1"/>
  <c r="R173" i="2"/>
  <c r="S173" i="2" s="1"/>
  <c r="U173" i="2" s="1"/>
  <c r="N173" i="2"/>
  <c r="Q173" i="2" s="1"/>
  <c r="T173" i="2" s="1"/>
  <c r="V172" i="2"/>
  <c r="R172" i="2"/>
  <c r="S172" i="2" s="1"/>
  <c r="U172" i="2" s="1"/>
  <c r="N172" i="2"/>
  <c r="Q172" i="2" s="1"/>
  <c r="T172" i="2" s="1"/>
  <c r="R171" i="2"/>
  <c r="S171" i="2" s="1"/>
  <c r="U171" i="2" s="1"/>
  <c r="N171" i="2"/>
  <c r="Q171" i="2" s="1"/>
  <c r="V170" i="2"/>
  <c r="R170" i="2"/>
  <c r="S170" i="2" s="1"/>
  <c r="U170" i="2" s="1"/>
  <c r="N170" i="2"/>
  <c r="Q170" i="2" s="1"/>
  <c r="T170" i="2" s="1"/>
  <c r="R169" i="2"/>
  <c r="S169" i="2" s="1"/>
  <c r="U169" i="2" s="1"/>
  <c r="N169" i="2"/>
  <c r="Q169" i="2" s="1"/>
  <c r="T169" i="2" s="1"/>
  <c r="R168" i="2"/>
  <c r="S168" i="2" s="1"/>
  <c r="U168" i="2" s="1"/>
  <c r="N168" i="2"/>
  <c r="Q168" i="2" s="1"/>
  <c r="V167" i="2"/>
  <c r="R167" i="2"/>
  <c r="S167" i="2" s="1"/>
  <c r="U167" i="2" s="1"/>
  <c r="N167" i="2"/>
  <c r="Q167" i="2" s="1"/>
  <c r="T167" i="2" s="1"/>
  <c r="R166" i="2"/>
  <c r="S166" i="2" s="1"/>
  <c r="U166" i="2" s="1"/>
  <c r="N166" i="2"/>
  <c r="Q166" i="2" s="1"/>
  <c r="R165" i="2"/>
  <c r="S165" i="2" s="1"/>
  <c r="U165" i="2" s="1"/>
  <c r="N165" i="2"/>
  <c r="Q165" i="2" s="1"/>
  <c r="R164" i="2"/>
  <c r="S164" i="2" s="1"/>
  <c r="U164" i="2" s="1"/>
  <c r="N164" i="2"/>
  <c r="Q164" i="2" s="1"/>
  <c r="T164" i="2" s="1"/>
  <c r="R163" i="2"/>
  <c r="S163" i="2" s="1"/>
  <c r="U163" i="2" s="1"/>
  <c r="N163" i="2"/>
  <c r="Q163" i="2" s="1"/>
  <c r="R162" i="2"/>
  <c r="S162" i="2" s="1"/>
  <c r="U162" i="2" s="1"/>
  <c r="N162" i="2"/>
  <c r="Q162" i="2" s="1"/>
  <c r="R161" i="2"/>
  <c r="S161" i="2" s="1"/>
  <c r="U161" i="2" s="1"/>
  <c r="N161" i="2"/>
  <c r="Q161" i="2" s="1"/>
  <c r="T161" i="2" s="1"/>
  <c r="R160" i="2"/>
  <c r="S160" i="2" s="1"/>
  <c r="U160" i="2" s="1"/>
  <c r="N160" i="2"/>
  <c r="Q160" i="2" s="1"/>
  <c r="T160" i="2" s="1"/>
  <c r="R159" i="2"/>
  <c r="S159" i="2" s="1"/>
  <c r="U159" i="2" s="1"/>
  <c r="N159" i="2"/>
  <c r="Q159" i="2" s="1"/>
  <c r="R158" i="2"/>
  <c r="S158" i="2" s="1"/>
  <c r="U158" i="2" s="1"/>
  <c r="N158" i="2"/>
  <c r="Q158" i="2" s="1"/>
  <c r="R157" i="2"/>
  <c r="S157" i="2" s="1"/>
  <c r="U157" i="2" s="1"/>
  <c r="N157" i="2"/>
  <c r="Q157" i="2" s="1"/>
  <c r="T157" i="2" s="1"/>
  <c r="R156" i="2"/>
  <c r="S156" i="2" s="1"/>
  <c r="U156" i="2" s="1"/>
  <c r="N156" i="2"/>
  <c r="Q156" i="2" s="1"/>
  <c r="R155" i="2"/>
  <c r="S155" i="2" s="1"/>
  <c r="U155" i="2" s="1"/>
  <c r="N155" i="2"/>
  <c r="P155" i="2" s="1"/>
  <c r="R154" i="2"/>
  <c r="S154" i="2" s="1"/>
  <c r="U154" i="2" s="1"/>
  <c r="N154" i="2"/>
  <c r="S153" i="2"/>
  <c r="U153" i="2" s="1"/>
  <c r="R153" i="2"/>
  <c r="N153" i="2"/>
  <c r="Q153" i="2" s="1"/>
  <c r="R152" i="2"/>
  <c r="S152" i="2" s="1"/>
  <c r="U152" i="2" s="1"/>
  <c r="Q152" i="2"/>
  <c r="N152" i="2"/>
  <c r="P152" i="2" s="1"/>
  <c r="R151" i="2"/>
  <c r="S151" i="2" s="1"/>
  <c r="U151" i="2" s="1"/>
  <c r="N151" i="2"/>
  <c r="R150" i="2"/>
  <c r="S150" i="2" s="1"/>
  <c r="U150" i="2" s="1"/>
  <c r="P150" i="2"/>
  <c r="N150" i="2"/>
  <c r="Q150" i="2" s="1"/>
  <c r="R149" i="2"/>
  <c r="S149" i="2" s="1"/>
  <c r="U149" i="2" s="1"/>
  <c r="N149" i="2"/>
  <c r="P149" i="2" s="1"/>
  <c r="R148" i="2"/>
  <c r="S148" i="2" s="1"/>
  <c r="U148" i="2" s="1"/>
  <c r="N148" i="2"/>
  <c r="U147" i="2"/>
  <c r="S147" i="2"/>
  <c r="R147" i="2"/>
  <c r="N147" i="2"/>
  <c r="Q147" i="2" s="1"/>
  <c r="S146" i="2"/>
  <c r="U146" i="2" s="1"/>
  <c r="R146" i="2"/>
  <c r="N146" i="2"/>
  <c r="P146" i="2" s="1"/>
  <c r="R145" i="2"/>
  <c r="S145" i="2" s="1"/>
  <c r="U145" i="2" s="1"/>
  <c r="N145" i="2"/>
  <c r="R144" i="2"/>
  <c r="S144" i="2" s="1"/>
  <c r="U144" i="2" s="1"/>
  <c r="N144" i="2"/>
  <c r="Q144" i="2" s="1"/>
  <c r="S143" i="2"/>
  <c r="U143" i="2" s="1"/>
  <c r="R143" i="2"/>
  <c r="N143" i="2"/>
  <c r="P143" i="2" s="1"/>
  <c r="R142" i="2"/>
  <c r="S142" i="2" s="1"/>
  <c r="U142" i="2" s="1"/>
  <c r="N142" i="2"/>
  <c r="R141" i="2"/>
  <c r="S141" i="2" s="1"/>
  <c r="U141" i="2" s="1"/>
  <c r="P141" i="2"/>
  <c r="N141" i="2"/>
  <c r="Q141" i="2" s="1"/>
  <c r="S140" i="2"/>
  <c r="U140" i="2" s="1"/>
  <c r="R140" i="2"/>
  <c r="N140" i="2"/>
  <c r="P140" i="2" s="1"/>
  <c r="R139" i="2"/>
  <c r="S139" i="2" s="1"/>
  <c r="U139" i="2" s="1"/>
  <c r="N139" i="2"/>
  <c r="S138" i="2"/>
  <c r="U138" i="2" s="1"/>
  <c r="R138" i="2"/>
  <c r="N138" i="2"/>
  <c r="Q138" i="2" s="1"/>
  <c r="R137" i="2"/>
  <c r="S137" i="2" s="1"/>
  <c r="U137" i="2" s="1"/>
  <c r="N137" i="2"/>
  <c r="P137" i="2" s="1"/>
  <c r="R136" i="2"/>
  <c r="S136" i="2" s="1"/>
  <c r="U136" i="2" s="1"/>
  <c r="N136" i="2"/>
  <c r="S135" i="2"/>
  <c r="U135" i="2" s="1"/>
  <c r="R135" i="2"/>
  <c r="N135" i="2"/>
  <c r="Q135" i="2" s="1"/>
  <c r="R134" i="2"/>
  <c r="S134" i="2" s="1"/>
  <c r="U134" i="2" s="1"/>
  <c r="N134" i="2"/>
  <c r="P134" i="2" s="1"/>
  <c r="S133" i="2"/>
  <c r="U133" i="2" s="1"/>
  <c r="R133" i="2"/>
  <c r="N133" i="2"/>
  <c r="R132" i="2"/>
  <c r="S132" i="2" s="1"/>
  <c r="U132" i="2" s="1"/>
  <c r="N132" i="2"/>
  <c r="Q132" i="2" s="1"/>
  <c r="S131" i="2"/>
  <c r="U131" i="2" s="1"/>
  <c r="R131" i="2"/>
  <c r="N131" i="2"/>
  <c r="P131" i="2" s="1"/>
  <c r="R130" i="2"/>
  <c r="S130" i="2" s="1"/>
  <c r="U130" i="2" s="1"/>
  <c r="N130" i="2"/>
  <c r="P130" i="2" s="1"/>
  <c r="R129" i="2"/>
  <c r="S129" i="2" s="1"/>
  <c r="U129" i="2" s="1"/>
  <c r="Q129" i="2"/>
  <c r="N129" i="2"/>
  <c r="P129" i="2" s="1"/>
  <c r="U128" i="2"/>
  <c r="S128" i="2"/>
  <c r="R128" i="2"/>
  <c r="N128" i="2"/>
  <c r="P128" i="2" s="1"/>
  <c r="V127" i="2"/>
  <c r="S127" i="2"/>
  <c r="U127" i="2" s="1"/>
  <c r="R127" i="2"/>
  <c r="Q127" i="2"/>
  <c r="T127" i="2" s="1"/>
  <c r="N127" i="2"/>
  <c r="P127" i="2" s="1"/>
  <c r="R126" i="2"/>
  <c r="S126" i="2" s="1"/>
  <c r="U126" i="2" s="1"/>
  <c r="P126" i="2"/>
  <c r="N126" i="2"/>
  <c r="Q126" i="2" s="1"/>
  <c r="R125" i="2"/>
  <c r="S125" i="2" s="1"/>
  <c r="U125" i="2" s="1"/>
  <c r="N125" i="2"/>
  <c r="P125" i="2" s="1"/>
  <c r="R124" i="2"/>
  <c r="S124" i="2" s="1"/>
  <c r="U124" i="2" s="1"/>
  <c r="N124" i="2"/>
  <c r="P124" i="2" s="1"/>
  <c r="R123" i="2"/>
  <c r="S123" i="2" s="1"/>
  <c r="U123" i="2" s="1"/>
  <c r="Q123" i="2"/>
  <c r="P123" i="2"/>
  <c r="N123" i="2"/>
  <c r="R122" i="2"/>
  <c r="S122" i="2" s="1"/>
  <c r="U122" i="2" s="1"/>
  <c r="N122" i="2"/>
  <c r="P122" i="2" s="1"/>
  <c r="R121" i="2"/>
  <c r="S121" i="2" s="1"/>
  <c r="U121" i="2" s="1"/>
  <c r="N121" i="2"/>
  <c r="P121" i="2" s="1"/>
  <c r="R120" i="2"/>
  <c r="S120" i="2" s="1"/>
  <c r="U120" i="2" s="1"/>
  <c r="N120" i="2"/>
  <c r="Q120" i="2" s="1"/>
  <c r="S119" i="2"/>
  <c r="U119" i="2" s="1"/>
  <c r="R119" i="2"/>
  <c r="N119" i="2"/>
  <c r="P119" i="2" s="1"/>
  <c r="S118" i="2"/>
  <c r="U118" i="2" s="1"/>
  <c r="R118" i="2"/>
  <c r="Q118" i="2"/>
  <c r="T118" i="2" s="1"/>
  <c r="N118" i="2"/>
  <c r="P118" i="2" s="1"/>
  <c r="R117" i="2"/>
  <c r="S117" i="2" s="1"/>
  <c r="U117" i="2" s="1"/>
  <c r="N117" i="2"/>
  <c r="Q117" i="2" s="1"/>
  <c r="R116" i="2"/>
  <c r="S116" i="2" s="1"/>
  <c r="U116" i="2" s="1"/>
  <c r="N116" i="2"/>
  <c r="P116" i="2" s="1"/>
  <c r="S115" i="2"/>
  <c r="U115" i="2" s="1"/>
  <c r="R115" i="2"/>
  <c r="N115" i="2"/>
  <c r="P115" i="2" s="1"/>
  <c r="R114" i="2"/>
  <c r="S114" i="2" s="1"/>
  <c r="U114" i="2" s="1"/>
  <c r="Q114" i="2"/>
  <c r="P114" i="2"/>
  <c r="N114" i="2"/>
  <c r="R113" i="2"/>
  <c r="S113" i="2" s="1"/>
  <c r="U113" i="2" s="1"/>
  <c r="N113" i="2"/>
  <c r="P113" i="2" s="1"/>
  <c r="R112" i="2"/>
  <c r="S112" i="2" s="1"/>
  <c r="U112" i="2" s="1"/>
  <c r="N112" i="2"/>
  <c r="P112" i="2" s="1"/>
  <c r="R111" i="2"/>
  <c r="S111" i="2" s="1"/>
  <c r="U111" i="2" s="1"/>
  <c r="Q111" i="2"/>
  <c r="N111" i="2"/>
  <c r="P111" i="2" s="1"/>
  <c r="R110" i="2"/>
  <c r="S110" i="2" s="1"/>
  <c r="U110" i="2" s="1"/>
  <c r="N110" i="2"/>
  <c r="P110" i="2" s="1"/>
  <c r="R109" i="2"/>
  <c r="S109" i="2" s="1"/>
  <c r="U109" i="2" s="1"/>
  <c r="N109" i="2"/>
  <c r="P109" i="2" s="1"/>
  <c r="R108" i="2"/>
  <c r="S108" i="2" s="1"/>
  <c r="U108" i="2" s="1"/>
  <c r="N108" i="2"/>
  <c r="Q108" i="2" s="1"/>
  <c r="S107" i="2"/>
  <c r="U107" i="2" s="1"/>
  <c r="R107" i="2"/>
  <c r="N107" i="2"/>
  <c r="P107" i="2" s="1"/>
  <c r="R106" i="2"/>
  <c r="S106" i="2" s="1"/>
  <c r="U106" i="2" s="1"/>
  <c r="Q106" i="2"/>
  <c r="T106" i="2" s="1"/>
  <c r="N106" i="2"/>
  <c r="P106" i="2" s="1"/>
  <c r="R105" i="2"/>
  <c r="S105" i="2" s="1"/>
  <c r="U105" i="2" s="1"/>
  <c r="Q105" i="2"/>
  <c r="N105" i="2"/>
  <c r="P105" i="2" s="1"/>
  <c r="U104" i="2"/>
  <c r="S104" i="2"/>
  <c r="R104" i="2"/>
  <c r="N104" i="2"/>
  <c r="P104" i="2" s="1"/>
  <c r="V103" i="2"/>
  <c r="S103" i="2"/>
  <c r="U103" i="2" s="1"/>
  <c r="R103" i="2"/>
  <c r="Q103" i="2"/>
  <c r="T103" i="2" s="1"/>
  <c r="N103" i="2"/>
  <c r="P103" i="2" s="1"/>
  <c r="R102" i="2"/>
  <c r="S102" i="2" s="1"/>
  <c r="U102" i="2" s="1"/>
  <c r="P102" i="2"/>
  <c r="N102" i="2"/>
  <c r="Q102" i="2" s="1"/>
  <c r="R101" i="2"/>
  <c r="S101" i="2" s="1"/>
  <c r="U101" i="2" s="1"/>
  <c r="N101" i="2"/>
  <c r="P101" i="2" s="1"/>
  <c r="R100" i="2"/>
  <c r="S100" i="2" s="1"/>
  <c r="U100" i="2" s="1"/>
  <c r="N100" i="2"/>
  <c r="P100" i="2" s="1"/>
  <c r="R99" i="2"/>
  <c r="S99" i="2" s="1"/>
  <c r="U99" i="2" s="1"/>
  <c r="Q99" i="2"/>
  <c r="P99" i="2"/>
  <c r="N99" i="2"/>
  <c r="R98" i="2"/>
  <c r="S98" i="2" s="1"/>
  <c r="U98" i="2" s="1"/>
  <c r="N98" i="2"/>
  <c r="P98" i="2" s="1"/>
  <c r="R97" i="2"/>
  <c r="S97" i="2" s="1"/>
  <c r="U97" i="2" s="1"/>
  <c r="N97" i="2"/>
  <c r="P97" i="2" s="1"/>
  <c r="R96" i="2"/>
  <c r="S96" i="2" s="1"/>
  <c r="U96" i="2" s="1"/>
  <c r="N96" i="2"/>
  <c r="P96" i="2" s="1"/>
  <c r="S95" i="2"/>
  <c r="U95" i="2" s="1"/>
  <c r="R95" i="2"/>
  <c r="N95" i="2"/>
  <c r="P95" i="2" s="1"/>
  <c r="R94" i="2"/>
  <c r="S94" i="2" s="1"/>
  <c r="U94" i="2" s="1"/>
  <c r="Q94" i="2"/>
  <c r="T94" i="2" s="1"/>
  <c r="N94" i="2"/>
  <c r="P94" i="2" s="1"/>
  <c r="R93" i="2"/>
  <c r="S93" i="2" s="1"/>
  <c r="U93" i="2" s="1"/>
  <c r="N93" i="2"/>
  <c r="P93" i="2" s="1"/>
  <c r="R92" i="2"/>
  <c r="S92" i="2" s="1"/>
  <c r="U92" i="2" s="1"/>
  <c r="N92" i="2"/>
  <c r="P92" i="2" s="1"/>
  <c r="S91" i="2"/>
  <c r="U91" i="2" s="1"/>
  <c r="R91" i="2"/>
  <c r="N91" i="2"/>
  <c r="P91" i="2" s="1"/>
  <c r="R90" i="2"/>
  <c r="S90" i="2" s="1"/>
  <c r="U90" i="2" s="1"/>
  <c r="Q90" i="2"/>
  <c r="P90" i="2"/>
  <c r="N90" i="2"/>
  <c r="S89" i="2"/>
  <c r="U89" i="2" s="1"/>
  <c r="R89" i="2"/>
  <c r="N89" i="2"/>
  <c r="P89" i="2" s="1"/>
  <c r="U88" i="2"/>
  <c r="S88" i="2"/>
  <c r="R88" i="2"/>
  <c r="N88" i="2"/>
  <c r="P88" i="2" s="1"/>
  <c r="R87" i="2"/>
  <c r="S87" i="2" s="1"/>
  <c r="U87" i="2" s="1"/>
  <c r="Q87" i="2"/>
  <c r="N87" i="2"/>
  <c r="P87" i="2" s="1"/>
  <c r="R86" i="2"/>
  <c r="S86" i="2" s="1"/>
  <c r="U86" i="2" s="1"/>
  <c r="N86" i="2"/>
  <c r="P86" i="2" s="1"/>
  <c r="R85" i="2"/>
  <c r="S85" i="2" s="1"/>
  <c r="U85" i="2" s="1"/>
  <c r="N85" i="2"/>
  <c r="P85" i="2" s="1"/>
  <c r="R84" i="2"/>
  <c r="S84" i="2" s="1"/>
  <c r="U84" i="2" s="1"/>
  <c r="Q84" i="2"/>
  <c r="P84" i="2"/>
  <c r="N84" i="2"/>
  <c r="S83" i="2"/>
  <c r="U83" i="2" s="1"/>
  <c r="R83" i="2"/>
  <c r="N83" i="2"/>
  <c r="P83" i="2" s="1"/>
  <c r="R82" i="2"/>
  <c r="S82" i="2" s="1"/>
  <c r="U82" i="2" s="1"/>
  <c r="N82" i="2"/>
  <c r="P82" i="2" s="1"/>
  <c r="R81" i="2"/>
  <c r="S81" i="2" s="1"/>
  <c r="U81" i="2" s="1"/>
  <c r="Q81" i="2"/>
  <c r="P81" i="2"/>
  <c r="N81" i="2"/>
  <c r="S80" i="2"/>
  <c r="U80" i="2" s="1"/>
  <c r="R80" i="2"/>
  <c r="N80" i="2"/>
  <c r="P80" i="2" s="1"/>
  <c r="V79" i="2"/>
  <c r="R79" i="2"/>
  <c r="S79" i="2" s="1"/>
  <c r="U79" i="2" s="1"/>
  <c r="Q79" i="2"/>
  <c r="T79" i="2" s="1"/>
  <c r="N79" i="2"/>
  <c r="P79" i="2" s="1"/>
  <c r="R78" i="2"/>
  <c r="S78" i="2" s="1"/>
  <c r="U78" i="2" s="1"/>
  <c r="N78" i="2"/>
  <c r="Q78" i="2" s="1"/>
  <c r="R77" i="2"/>
  <c r="S77" i="2" s="1"/>
  <c r="U77" i="2" s="1"/>
  <c r="N77" i="2"/>
  <c r="P77" i="2" s="1"/>
  <c r="S76" i="2"/>
  <c r="U76" i="2" s="1"/>
  <c r="R76" i="2"/>
  <c r="N76" i="2"/>
  <c r="P76" i="2" s="1"/>
  <c r="R75" i="2"/>
  <c r="S75" i="2" s="1"/>
  <c r="U75" i="2" s="1"/>
  <c r="N75" i="2"/>
  <c r="Q75" i="2" s="1"/>
  <c r="R74" i="2"/>
  <c r="S74" i="2" s="1"/>
  <c r="U74" i="2" s="1"/>
  <c r="N74" i="2"/>
  <c r="P74" i="2" s="1"/>
  <c r="V73" i="2"/>
  <c r="R73" i="2"/>
  <c r="S73" i="2" s="1"/>
  <c r="U73" i="2" s="1"/>
  <c r="Q73" i="2"/>
  <c r="T73" i="2" s="1"/>
  <c r="N73" i="2"/>
  <c r="P73" i="2" s="1"/>
  <c r="R72" i="2"/>
  <c r="S72" i="2" s="1"/>
  <c r="U72" i="2" s="1"/>
  <c r="Q72" i="2"/>
  <c r="P72" i="2"/>
  <c r="N72" i="2"/>
  <c r="R71" i="2"/>
  <c r="S71" i="2" s="1"/>
  <c r="U71" i="2" s="1"/>
  <c r="N71" i="2"/>
  <c r="P71" i="2" s="1"/>
  <c r="R70" i="2"/>
  <c r="S70" i="2" s="1"/>
  <c r="U70" i="2" s="1"/>
  <c r="N70" i="2"/>
  <c r="P70" i="2" s="1"/>
  <c r="R69" i="2"/>
  <c r="S69" i="2" s="1"/>
  <c r="U69" i="2" s="1"/>
  <c r="Q69" i="2"/>
  <c r="P69" i="2"/>
  <c r="N69" i="2"/>
  <c r="R68" i="2"/>
  <c r="S68" i="2" s="1"/>
  <c r="U68" i="2" s="1"/>
  <c r="N68" i="2"/>
  <c r="P68" i="2" s="1"/>
  <c r="S67" i="2"/>
  <c r="U67" i="2" s="1"/>
  <c r="R67" i="2"/>
  <c r="N67" i="2"/>
  <c r="P67" i="2" s="1"/>
  <c r="R66" i="2"/>
  <c r="S66" i="2" s="1"/>
  <c r="U66" i="2" s="1"/>
  <c r="N66" i="2"/>
  <c r="Q66" i="2" s="1"/>
  <c r="S65" i="2"/>
  <c r="U65" i="2" s="1"/>
  <c r="R65" i="2"/>
  <c r="N65" i="2"/>
  <c r="P65" i="2" s="1"/>
  <c r="R64" i="2"/>
  <c r="S64" i="2" s="1"/>
  <c r="U64" i="2" s="1"/>
  <c r="N64" i="2"/>
  <c r="P64" i="2" s="1"/>
  <c r="R63" i="2"/>
  <c r="S63" i="2" s="1"/>
  <c r="U63" i="2" s="1"/>
  <c r="N63" i="2"/>
  <c r="P63" i="2" s="1"/>
  <c r="S62" i="2"/>
  <c r="U62" i="2" s="1"/>
  <c r="R62" i="2"/>
  <c r="N62" i="2"/>
  <c r="P62" i="2" s="1"/>
  <c r="R61" i="2"/>
  <c r="S61" i="2" s="1"/>
  <c r="U61" i="2" s="1"/>
  <c r="Q61" i="2"/>
  <c r="T61" i="2" s="1"/>
  <c r="N61" i="2"/>
  <c r="P61" i="2" s="1"/>
  <c r="R60" i="2"/>
  <c r="S60" i="2" s="1"/>
  <c r="U60" i="2" s="1"/>
  <c r="N60" i="2"/>
  <c r="P60" i="2" s="1"/>
  <c r="R59" i="2"/>
  <c r="S59" i="2" s="1"/>
  <c r="U59" i="2" s="1"/>
  <c r="N59" i="2"/>
  <c r="P59" i="2" s="1"/>
  <c r="S58" i="2"/>
  <c r="U58" i="2" s="1"/>
  <c r="R58" i="2"/>
  <c r="N58" i="2"/>
  <c r="P58" i="2" s="1"/>
  <c r="R57" i="2"/>
  <c r="S57" i="2" s="1"/>
  <c r="U57" i="2" s="1"/>
  <c r="N57" i="2"/>
  <c r="Q57" i="2" s="1"/>
  <c r="R56" i="2"/>
  <c r="S56" i="2" s="1"/>
  <c r="U56" i="2" s="1"/>
  <c r="N56" i="2"/>
  <c r="P56" i="2" s="1"/>
  <c r="U55" i="2"/>
  <c r="S55" i="2"/>
  <c r="R55" i="2"/>
  <c r="N55" i="2"/>
  <c r="P55" i="2" s="1"/>
  <c r="R54" i="2"/>
  <c r="S54" i="2" s="1"/>
  <c r="U54" i="2" s="1"/>
  <c r="Q54" i="2"/>
  <c r="N54" i="2"/>
  <c r="P54" i="2" s="1"/>
  <c r="S53" i="2"/>
  <c r="U53" i="2" s="1"/>
  <c r="R53" i="2"/>
  <c r="N53" i="2"/>
  <c r="P53" i="2" s="1"/>
  <c r="R52" i="2"/>
  <c r="S52" i="2" s="1"/>
  <c r="U52" i="2" s="1"/>
  <c r="N52" i="2"/>
  <c r="P52" i="2" s="1"/>
  <c r="R51" i="2"/>
  <c r="S51" i="2" s="1"/>
  <c r="U51" i="2" s="1"/>
  <c r="Q51" i="2"/>
  <c r="N51" i="2"/>
  <c r="P51" i="2" s="1"/>
  <c r="R50" i="2"/>
  <c r="S50" i="2" s="1"/>
  <c r="U50" i="2" s="1"/>
  <c r="N50" i="2"/>
  <c r="P50" i="2" s="1"/>
  <c r="R49" i="2"/>
  <c r="S49" i="2" s="1"/>
  <c r="U49" i="2" s="1"/>
  <c r="N49" i="2"/>
  <c r="P49" i="2" s="1"/>
  <c r="R48" i="2"/>
  <c r="S48" i="2" s="1"/>
  <c r="U48" i="2" s="1"/>
  <c r="N48" i="2"/>
  <c r="Q48" i="2" s="1"/>
  <c r="S47" i="2"/>
  <c r="U47" i="2" s="1"/>
  <c r="R47" i="2"/>
  <c r="N47" i="2"/>
  <c r="P47" i="2" s="1"/>
  <c r="R46" i="2"/>
  <c r="S46" i="2" s="1"/>
  <c r="U46" i="2" s="1"/>
  <c r="N46" i="2"/>
  <c r="P46" i="2" s="1"/>
  <c r="R45" i="2"/>
  <c r="S45" i="2" s="1"/>
  <c r="U45" i="2" s="1"/>
  <c r="N45" i="2"/>
  <c r="Q45" i="2" s="1"/>
  <c r="S44" i="2"/>
  <c r="U44" i="2" s="1"/>
  <c r="R44" i="2"/>
  <c r="N44" i="2"/>
  <c r="P44" i="2" s="1"/>
  <c r="V43" i="2"/>
  <c r="R43" i="2"/>
  <c r="S43" i="2" s="1"/>
  <c r="U43" i="2" s="1"/>
  <c r="Q43" i="2"/>
  <c r="T43" i="2" s="1"/>
  <c r="N43" i="2"/>
  <c r="P43" i="2" s="1"/>
  <c r="R42" i="2"/>
  <c r="S42" i="2" s="1"/>
  <c r="U42" i="2" s="1"/>
  <c r="N42" i="2"/>
  <c r="P42" i="2" s="1"/>
  <c r="R41" i="2"/>
  <c r="S41" i="2" s="1"/>
  <c r="U41" i="2" s="1"/>
  <c r="N41" i="2"/>
  <c r="P41" i="2" s="1"/>
  <c r="R40" i="2"/>
  <c r="S40" i="2" s="1"/>
  <c r="U40" i="2" s="1"/>
  <c r="N40" i="2"/>
  <c r="P40" i="2" s="1"/>
  <c r="V39" i="2"/>
  <c r="R39" i="2"/>
  <c r="S39" i="2" s="1"/>
  <c r="U39" i="2" s="1"/>
  <c r="Q39" i="2"/>
  <c r="T39" i="2" s="1"/>
  <c r="N39" i="2"/>
  <c r="P39" i="2" s="1"/>
  <c r="R38" i="2"/>
  <c r="S38" i="2" s="1"/>
  <c r="U38" i="2" s="1"/>
  <c r="N38" i="2"/>
  <c r="Q38" i="2" s="1"/>
  <c r="R37" i="2"/>
  <c r="S37" i="2" s="1"/>
  <c r="U37" i="2" s="1"/>
  <c r="N37" i="2"/>
  <c r="Q37" i="2" s="1"/>
  <c r="R36" i="2"/>
  <c r="S36" i="2" s="1"/>
  <c r="U36" i="2" s="1"/>
  <c r="Q36" i="2"/>
  <c r="T36" i="2" s="1"/>
  <c r="P36" i="2"/>
  <c r="N36" i="2"/>
  <c r="R35" i="2"/>
  <c r="S35" i="2" s="1"/>
  <c r="U35" i="2" s="1"/>
  <c r="N35" i="2"/>
  <c r="Q35" i="2" s="1"/>
  <c r="R34" i="2"/>
  <c r="S34" i="2" s="1"/>
  <c r="U34" i="2" s="1"/>
  <c r="N34" i="2"/>
  <c r="Q34" i="2" s="1"/>
  <c r="R33" i="2"/>
  <c r="S33" i="2" s="1"/>
  <c r="U33" i="2" s="1"/>
  <c r="N33" i="2"/>
  <c r="P33" i="2" s="1"/>
  <c r="S32" i="2"/>
  <c r="U32" i="2" s="1"/>
  <c r="R32" i="2"/>
  <c r="N32" i="2"/>
  <c r="Q32" i="2" s="1"/>
  <c r="R31" i="2"/>
  <c r="S31" i="2" s="1"/>
  <c r="U31" i="2" s="1"/>
  <c r="N31" i="2"/>
  <c r="Q31" i="2" s="1"/>
  <c r="R30" i="2"/>
  <c r="S30" i="2" s="1"/>
  <c r="U30" i="2" s="1"/>
  <c r="N30" i="2"/>
  <c r="Q30" i="2" s="1"/>
  <c r="R29" i="2"/>
  <c r="S29" i="2" s="1"/>
  <c r="U29" i="2" s="1"/>
  <c r="N29" i="2"/>
  <c r="Q29" i="2" s="1"/>
  <c r="R28" i="2"/>
  <c r="S28" i="2" s="1"/>
  <c r="U28" i="2" s="1"/>
  <c r="N28" i="2"/>
  <c r="Q28" i="2" s="1"/>
  <c r="R27" i="2"/>
  <c r="S27" i="2" s="1"/>
  <c r="U27" i="2" s="1"/>
  <c r="P27" i="2"/>
  <c r="N27" i="2"/>
  <c r="Q27" i="2" s="1"/>
  <c r="R26" i="2"/>
  <c r="S26" i="2" s="1"/>
  <c r="U26" i="2" s="1"/>
  <c r="N26" i="2"/>
  <c r="Q26" i="2" s="1"/>
  <c r="R25" i="2"/>
  <c r="S25" i="2" s="1"/>
  <c r="U25" i="2" s="1"/>
  <c r="N25" i="2"/>
  <c r="P25" i="2" s="1"/>
  <c r="R24" i="2"/>
  <c r="S24" i="2" s="1"/>
  <c r="U24" i="2" s="1"/>
  <c r="Q24" i="2"/>
  <c r="T24" i="2" s="1"/>
  <c r="P24" i="2"/>
  <c r="N24" i="2"/>
  <c r="S23" i="2"/>
  <c r="U23" i="2" s="1"/>
  <c r="R23" i="2"/>
  <c r="N23" i="2"/>
  <c r="Q23" i="2" s="1"/>
  <c r="R22" i="2"/>
  <c r="S22" i="2" s="1"/>
  <c r="U22" i="2" s="1"/>
  <c r="N22" i="2"/>
  <c r="Q22" i="2" s="1"/>
  <c r="R21" i="2"/>
  <c r="S21" i="2" s="1"/>
  <c r="U21" i="2" s="1"/>
  <c r="P21" i="2"/>
  <c r="N21" i="2"/>
  <c r="Q21" i="2" s="1"/>
  <c r="S20" i="2"/>
  <c r="U20" i="2" s="1"/>
  <c r="R20" i="2"/>
  <c r="N20" i="2"/>
  <c r="Q20" i="2" s="1"/>
  <c r="R19" i="2"/>
  <c r="S19" i="2" s="1"/>
  <c r="U19" i="2" s="1"/>
  <c r="N19" i="2"/>
  <c r="P19" i="2" s="1"/>
  <c r="R18" i="2"/>
  <c r="S18" i="2" s="1"/>
  <c r="U18" i="2" s="1"/>
  <c r="Q18" i="2"/>
  <c r="T18" i="2" s="1"/>
  <c r="P18" i="2"/>
  <c r="N18" i="2"/>
  <c r="S17" i="2"/>
  <c r="U17" i="2" s="1"/>
  <c r="R17" i="2"/>
  <c r="N17" i="2"/>
  <c r="Q17" i="2" s="1"/>
  <c r="R16" i="2"/>
  <c r="S16" i="2" s="1"/>
  <c r="U16" i="2" s="1"/>
  <c r="N16" i="2"/>
  <c r="Q16" i="2" s="1"/>
  <c r="R15" i="2"/>
  <c r="S15" i="2" s="1"/>
  <c r="U15" i="2" s="1"/>
  <c r="N15" i="2"/>
  <c r="Q15" i="2" s="1"/>
  <c r="S14" i="2"/>
  <c r="U14" i="2" s="1"/>
  <c r="R14" i="2"/>
  <c r="N14" i="2"/>
  <c r="Q14" i="2" s="1"/>
  <c r="R13" i="2"/>
  <c r="S13" i="2" s="1"/>
  <c r="U13" i="2" s="1"/>
  <c r="N13" i="2"/>
  <c r="P13" i="2" s="1"/>
  <c r="R12" i="2"/>
  <c r="S12" i="2" s="1"/>
  <c r="U12" i="2" s="1"/>
  <c r="N12" i="2"/>
  <c r="Q12" i="2" s="1"/>
  <c r="R11" i="2"/>
  <c r="S11" i="2" s="1"/>
  <c r="U11" i="2" s="1"/>
  <c r="N11" i="2"/>
  <c r="Q11" i="2" s="1"/>
  <c r="R10" i="2"/>
  <c r="S10" i="2" s="1"/>
  <c r="U10" i="2" s="1"/>
  <c r="N10" i="2"/>
  <c r="P10" i="2" s="1"/>
  <c r="R9" i="2"/>
  <c r="S9" i="2" s="1"/>
  <c r="U9" i="2" s="1"/>
  <c r="P9" i="2"/>
  <c r="N9" i="2"/>
  <c r="Q9" i="2" s="1"/>
  <c r="R8" i="2"/>
  <c r="S8" i="2" s="1"/>
  <c r="U8" i="2" s="1"/>
  <c r="N8" i="2"/>
  <c r="Q8" i="2" s="1"/>
  <c r="R7" i="2"/>
  <c r="S7" i="2" s="1"/>
  <c r="U7" i="2" s="1"/>
  <c r="N7" i="2"/>
  <c r="Q7" i="2" s="1"/>
  <c r="G22" i="5"/>
  <c r="G54" i="5"/>
  <c r="F54" i="5"/>
  <c r="D54" i="5"/>
  <c r="G24" i="5"/>
  <c r="F24" i="5"/>
  <c r="I56" i="5"/>
  <c r="H56" i="5"/>
  <c r="G56" i="5"/>
  <c r="F56" i="5"/>
  <c r="E56" i="5"/>
  <c r="D56" i="5"/>
  <c r="I24" i="5"/>
  <c r="E24" i="5"/>
  <c r="D24" i="5"/>
  <c r="H24" i="5"/>
  <c r="A90" i="5"/>
  <c r="D80" i="5"/>
  <c r="F80" i="5"/>
  <c r="D73" i="5"/>
  <c r="D77" i="5"/>
  <c r="D78" i="5" s="1"/>
  <c r="F77" i="5"/>
  <c r="E69" i="5"/>
  <c r="D69" i="5" s="1"/>
  <c r="F68" i="5"/>
  <c r="F71" i="5" s="1"/>
  <c r="F70" i="5"/>
  <c r="E70" i="5"/>
  <c r="D70" i="5"/>
  <c r="F69" i="5"/>
  <c r="E68" i="5"/>
  <c r="E71" i="5" s="1"/>
  <c r="I54" i="5"/>
  <c r="G48" i="5"/>
  <c r="I48" i="5"/>
  <c r="E48" i="5" s="1"/>
  <c r="E53" i="5"/>
  <c r="E52" i="5"/>
  <c r="F48" i="5"/>
  <c r="E51" i="5"/>
  <c r="D48" i="5"/>
  <c r="D58" i="5" s="1"/>
  <c r="E50" i="5"/>
  <c r="H48" i="5"/>
  <c r="H58" i="5" s="1"/>
  <c r="E49" i="5"/>
  <c r="E55" i="5"/>
  <c r="E54" i="5" s="1"/>
  <c r="H54" i="5"/>
  <c r="F78" i="5"/>
  <c r="F79" i="5" s="1"/>
  <c r="T202" i="2" l="1"/>
  <c r="V202" i="2"/>
  <c r="T15" i="2"/>
  <c r="V15" i="2"/>
  <c r="T30" i="2"/>
  <c r="V30" i="2"/>
  <c r="T12" i="2"/>
  <c r="V12" i="2"/>
  <c r="T205" i="2"/>
  <c r="V205" i="2"/>
  <c r="T21" i="2"/>
  <c r="V21" i="2"/>
  <c r="T27" i="2"/>
  <c r="V27" i="2"/>
  <c r="V165" i="2"/>
  <c r="T165" i="2"/>
  <c r="T9" i="2"/>
  <c r="V9" i="2"/>
  <c r="Q49" i="2"/>
  <c r="Q109" i="2"/>
  <c r="P15" i="2"/>
  <c r="P117" i="2"/>
  <c r="P285" i="2"/>
  <c r="V18" i="2"/>
  <c r="P66" i="2"/>
  <c r="Q88" i="2"/>
  <c r="T88" i="2" s="1"/>
  <c r="P120" i="2"/>
  <c r="V199" i="2"/>
  <c r="P236" i="2"/>
  <c r="P264" i="2"/>
  <c r="P12" i="2"/>
  <c r="P30" i="2"/>
  <c r="Q63" i="2"/>
  <c r="Q91" i="2"/>
  <c r="Q96" i="2"/>
  <c r="Q115" i="2"/>
  <c r="Q143" i="2"/>
  <c r="P165" i="2"/>
  <c r="Q196" i="2"/>
  <c r="V203" i="2"/>
  <c r="V211" i="2"/>
  <c r="P240" i="2"/>
  <c r="V244" i="2"/>
  <c r="P252" i="2"/>
  <c r="V268" i="2"/>
  <c r="V259" i="2"/>
  <c r="Q112" i="2"/>
  <c r="T112" i="2" s="1"/>
  <c r="Q134" i="2"/>
  <c r="V134" i="2" s="1"/>
  <c r="V178" i="2"/>
  <c r="P207" i="2"/>
  <c r="P219" i="2"/>
  <c r="P228" i="2"/>
  <c r="V232" i="2"/>
  <c r="P249" i="2"/>
  <c r="V256" i="2"/>
  <c r="P273" i="2"/>
  <c r="Q33" i="2"/>
  <c r="Q67" i="2"/>
  <c r="P75" i="2"/>
  <c r="P78" i="2"/>
  <c r="Q97" i="2"/>
  <c r="Q121" i="2"/>
  <c r="P132" i="2"/>
  <c r="P135" i="2"/>
  <c r="P138" i="2"/>
  <c r="P237" i="2"/>
  <c r="P261" i="2"/>
  <c r="Q60" i="2"/>
  <c r="V60" i="2" s="1"/>
  <c r="V182" i="2"/>
  <c r="V36" i="2"/>
  <c r="Q93" i="2"/>
  <c r="P144" i="2"/>
  <c r="P147" i="2"/>
  <c r="P189" i="2"/>
  <c r="P197" i="2"/>
  <c r="P205" i="2"/>
  <c r="P225" i="2"/>
  <c r="P57" i="2"/>
  <c r="P231" i="2"/>
  <c r="P45" i="2"/>
  <c r="P48" i="2"/>
  <c r="V61" i="2"/>
  <c r="Q100" i="2"/>
  <c r="T100" i="2" s="1"/>
  <c r="P108" i="2"/>
  <c r="Q124" i="2"/>
  <c r="T124" i="2" s="1"/>
  <c r="P153" i="2"/>
  <c r="V193" i="2"/>
  <c r="V209" i="2"/>
  <c r="P213" i="2"/>
  <c r="P246" i="2"/>
  <c r="P254" i="2"/>
  <c r="P270" i="2"/>
  <c r="P279" i="2"/>
  <c r="V164" i="2"/>
  <c r="V197" i="2"/>
  <c r="Q251" i="2"/>
  <c r="P258" i="2"/>
  <c r="H92" i="5"/>
  <c r="Q85" i="2"/>
  <c r="P255" i="2"/>
  <c r="P276" i="2"/>
  <c r="Q55" i="2"/>
  <c r="V24" i="2"/>
  <c r="V157" i="2"/>
  <c r="P177" i="2"/>
  <c r="V185" i="2"/>
  <c r="V238" i="2"/>
  <c r="V7" i="2"/>
  <c r="T7" i="2"/>
  <c r="V11" i="2"/>
  <c r="T11" i="2"/>
  <c r="T29" i="2"/>
  <c r="V29" i="2"/>
  <c r="V17" i="2"/>
  <c r="T17" i="2"/>
  <c r="V31" i="2"/>
  <c r="T31" i="2"/>
  <c r="V26" i="2"/>
  <c r="T26" i="2"/>
  <c r="V37" i="2"/>
  <c r="T37" i="2"/>
  <c r="V8" i="2"/>
  <c r="T8" i="2"/>
  <c r="V22" i="2"/>
  <c r="T22" i="2"/>
  <c r="V23" i="2"/>
  <c r="T23" i="2"/>
  <c r="V16" i="2"/>
  <c r="T16" i="2"/>
  <c r="V20" i="2"/>
  <c r="T20" i="2"/>
  <c r="V34" i="2"/>
  <c r="T34" i="2"/>
  <c r="V38" i="2"/>
  <c r="T38" i="2"/>
  <c r="V35" i="2"/>
  <c r="T35" i="2"/>
  <c r="V14" i="2"/>
  <c r="T14" i="2"/>
  <c r="V28" i="2"/>
  <c r="T28" i="2"/>
  <c r="V32" i="2"/>
  <c r="T32" i="2"/>
  <c r="P37" i="2"/>
  <c r="Q25" i="2"/>
  <c r="Q50" i="2"/>
  <c r="Q133" i="2"/>
  <c r="P133" i="2"/>
  <c r="T135" i="2"/>
  <c r="V135" i="2"/>
  <c r="Q142" i="2"/>
  <c r="P142" i="2"/>
  <c r="T144" i="2"/>
  <c r="V144" i="2"/>
  <c r="Q151" i="2"/>
  <c r="P151" i="2"/>
  <c r="T153" i="2"/>
  <c r="V153" i="2"/>
  <c r="T175" i="2"/>
  <c r="V175" i="2"/>
  <c r="T179" i="2"/>
  <c r="V179" i="2"/>
  <c r="V271" i="2"/>
  <c r="V88" i="2"/>
  <c r="V94" i="2"/>
  <c r="V100" i="2"/>
  <c r="V106" i="2"/>
  <c r="V112" i="2"/>
  <c r="V118" i="2"/>
  <c r="V124" i="2"/>
  <c r="V204" i="2"/>
  <c r="T204" i="2"/>
  <c r="V249" i="2"/>
  <c r="T249" i="2"/>
  <c r="V252" i="2"/>
  <c r="T252" i="2"/>
  <c r="Q64" i="2"/>
  <c r="V180" i="2"/>
  <c r="T180" i="2"/>
  <c r="V245" i="2"/>
  <c r="T245" i="2"/>
  <c r="P31" i="2"/>
  <c r="Q10" i="2"/>
  <c r="Q107" i="2"/>
  <c r="P28" i="2"/>
  <c r="Q13" i="2"/>
  <c r="Q19" i="2"/>
  <c r="T45" i="2"/>
  <c r="V45" i="2"/>
  <c r="T51" i="2"/>
  <c r="V51" i="2"/>
  <c r="Q53" i="2"/>
  <c r="Q59" i="2"/>
  <c r="Q65" i="2"/>
  <c r="Q71" i="2"/>
  <c r="T75" i="2"/>
  <c r="V75" i="2"/>
  <c r="Q77" i="2"/>
  <c r="Q83" i="2"/>
  <c r="Q89" i="2"/>
  <c r="Q95" i="2"/>
  <c r="T105" i="2"/>
  <c r="V105" i="2"/>
  <c r="T111" i="2"/>
  <c r="V111" i="2"/>
  <c r="Q113" i="2"/>
  <c r="Q119" i="2"/>
  <c r="Q125" i="2"/>
  <c r="Q131" i="2"/>
  <c r="Q149" i="2"/>
  <c r="T166" i="2"/>
  <c r="V166" i="2"/>
  <c r="V233" i="2"/>
  <c r="T233" i="2"/>
  <c r="T241" i="2"/>
  <c r="V241" i="2"/>
  <c r="P8" i="2"/>
  <c r="P11" i="2"/>
  <c r="P14" i="2"/>
  <c r="P17" i="2"/>
  <c r="P20" i="2"/>
  <c r="P23" i="2"/>
  <c r="P26" i="2"/>
  <c r="P29" i="2"/>
  <c r="P32" i="2"/>
  <c r="P35" i="2"/>
  <c r="P38" i="2"/>
  <c r="Q136" i="2"/>
  <c r="P136" i="2"/>
  <c r="T138" i="2"/>
  <c r="V138" i="2"/>
  <c r="Q145" i="2"/>
  <c r="P145" i="2"/>
  <c r="T147" i="2"/>
  <c r="V147" i="2"/>
  <c r="Q154" i="2"/>
  <c r="P154" i="2"/>
  <c r="T181" i="2"/>
  <c r="V181" i="2"/>
  <c r="V213" i="2"/>
  <c r="T213" i="2"/>
  <c r="V225" i="2"/>
  <c r="T225" i="2"/>
  <c r="T229" i="2"/>
  <c r="V229" i="2"/>
  <c r="P7" i="2"/>
  <c r="P22" i="2"/>
  <c r="P34" i="2"/>
  <c r="Q40" i="2"/>
  <c r="Q58" i="2"/>
  <c r="Q41" i="2"/>
  <c r="Q47" i="2"/>
  <c r="T57" i="2"/>
  <c r="V57" i="2"/>
  <c r="T63" i="2"/>
  <c r="V63" i="2"/>
  <c r="T69" i="2"/>
  <c r="V69" i="2"/>
  <c r="T81" i="2"/>
  <c r="V81" i="2"/>
  <c r="T87" i="2"/>
  <c r="V87" i="2"/>
  <c r="T93" i="2"/>
  <c r="V93" i="2"/>
  <c r="T99" i="2"/>
  <c r="V99" i="2"/>
  <c r="Q101" i="2"/>
  <c r="T117" i="2"/>
  <c r="V117" i="2"/>
  <c r="T123" i="2"/>
  <c r="V123" i="2"/>
  <c r="T129" i="2"/>
  <c r="V129" i="2"/>
  <c r="Q140" i="2"/>
  <c r="V162" i="2"/>
  <c r="T162" i="2"/>
  <c r="V237" i="2"/>
  <c r="T237" i="2"/>
  <c r="T163" i="2"/>
  <c r="V163" i="2"/>
  <c r="V176" i="2"/>
  <c r="V221" i="2"/>
  <c r="T221" i="2"/>
  <c r="V242" i="2"/>
  <c r="T242" i="2"/>
  <c r="V246" i="2"/>
  <c r="T246" i="2"/>
  <c r="V217" i="2"/>
  <c r="V250" i="2"/>
  <c r="V253" i="2"/>
  <c r="V143" i="2"/>
  <c r="T143" i="2"/>
  <c r="V152" i="2"/>
  <c r="T152" i="2"/>
  <c r="T158" i="2"/>
  <c r="V158" i="2"/>
  <c r="V198" i="2"/>
  <c r="T198" i="2"/>
  <c r="Q130" i="2"/>
  <c r="T132" i="2"/>
  <c r="V132" i="2"/>
  <c r="Q139" i="2"/>
  <c r="P139" i="2"/>
  <c r="T141" i="2"/>
  <c r="V141" i="2"/>
  <c r="Q148" i="2"/>
  <c r="P148" i="2"/>
  <c r="T150" i="2"/>
  <c r="V150" i="2"/>
  <c r="V168" i="2"/>
  <c r="T168" i="2"/>
  <c r="V186" i="2"/>
  <c r="T186" i="2"/>
  <c r="T206" i="2"/>
  <c r="V206" i="2"/>
  <c r="V279" i="2"/>
  <c r="T279" i="2"/>
  <c r="P16" i="2"/>
  <c r="Q46" i="2"/>
  <c r="Q76" i="2"/>
  <c r="Q42" i="2"/>
  <c r="T60" i="2"/>
  <c r="Q68" i="2"/>
  <c r="Q74" i="2"/>
  <c r="Q80" i="2"/>
  <c r="Q86" i="2"/>
  <c r="T102" i="2"/>
  <c r="V102" i="2"/>
  <c r="Q110" i="2"/>
  <c r="T114" i="2"/>
  <c r="V114" i="2"/>
  <c r="Q116" i="2"/>
  <c r="T120" i="2"/>
  <c r="V120" i="2"/>
  <c r="Q122" i="2"/>
  <c r="T126" i="2"/>
  <c r="V126" i="2"/>
  <c r="Q128" i="2"/>
  <c r="T191" i="2"/>
  <c r="V191" i="2"/>
  <c r="V231" i="2"/>
  <c r="T231" i="2"/>
  <c r="T235" i="2"/>
  <c r="V235" i="2"/>
  <c r="V275" i="2"/>
  <c r="T275" i="2"/>
  <c r="Q52" i="2"/>
  <c r="Q44" i="2"/>
  <c r="T54" i="2"/>
  <c r="V54" i="2"/>
  <c r="T66" i="2"/>
  <c r="V66" i="2"/>
  <c r="T78" i="2"/>
  <c r="V78" i="2"/>
  <c r="Q92" i="2"/>
  <c r="T108" i="2"/>
  <c r="V108" i="2"/>
  <c r="Q70" i="2"/>
  <c r="Q82" i="2"/>
  <c r="T48" i="2"/>
  <c r="V48" i="2"/>
  <c r="Q56" i="2"/>
  <c r="Q62" i="2"/>
  <c r="T72" i="2"/>
  <c r="V72" i="2"/>
  <c r="T84" i="2"/>
  <c r="V84" i="2"/>
  <c r="T90" i="2"/>
  <c r="V90" i="2"/>
  <c r="T96" i="2"/>
  <c r="V96" i="2"/>
  <c r="Q98" i="2"/>
  <c r="Q104" i="2"/>
  <c r="T187" i="2"/>
  <c r="V187" i="2"/>
  <c r="V207" i="2"/>
  <c r="T207" i="2"/>
  <c r="V227" i="2"/>
  <c r="T227" i="2"/>
  <c r="V263" i="2"/>
  <c r="T263" i="2"/>
  <c r="V267" i="2"/>
  <c r="T267" i="2"/>
  <c r="Q137" i="2"/>
  <c r="Q146" i="2"/>
  <c r="Q155" i="2"/>
  <c r="V192" i="2"/>
  <c r="T192" i="2"/>
  <c r="V219" i="2"/>
  <c r="T219" i="2"/>
  <c r="T223" i="2"/>
  <c r="V223" i="2"/>
  <c r="V255" i="2"/>
  <c r="T255" i="2"/>
  <c r="V215" i="2"/>
  <c r="T215" i="2"/>
  <c r="V257" i="2"/>
  <c r="T257" i="2"/>
  <c r="V261" i="2"/>
  <c r="T261" i="2"/>
  <c r="V269" i="2"/>
  <c r="T269" i="2"/>
  <c r="V273" i="2"/>
  <c r="T273" i="2"/>
  <c r="V281" i="2"/>
  <c r="T281" i="2"/>
  <c r="V285" i="2"/>
  <c r="T285" i="2"/>
  <c r="V156" i="2"/>
  <c r="T156" i="2"/>
  <c r="V160" i="2"/>
  <c r="V177" i="2"/>
  <c r="T177" i="2"/>
  <c r="V189" i="2"/>
  <c r="T189" i="2"/>
  <c r="V239" i="2"/>
  <c r="T239" i="2"/>
  <c r="V243" i="2"/>
  <c r="T243" i="2"/>
  <c r="V254" i="2"/>
  <c r="T254" i="2"/>
  <c r="V277" i="2"/>
  <c r="V201" i="2"/>
  <c r="T201" i="2"/>
  <c r="V212" i="2"/>
  <c r="T212" i="2"/>
  <c r="V216" i="2"/>
  <c r="T216" i="2"/>
  <c r="V258" i="2"/>
  <c r="T258" i="2"/>
  <c r="V266" i="2"/>
  <c r="T266" i="2"/>
  <c r="V270" i="2"/>
  <c r="T270" i="2"/>
  <c r="V278" i="2"/>
  <c r="T278" i="2"/>
  <c r="V282" i="2"/>
  <c r="T282" i="2"/>
  <c r="V173" i="2"/>
  <c r="V208" i="2"/>
  <c r="V224" i="2"/>
  <c r="T224" i="2"/>
  <c r="V228" i="2"/>
  <c r="T228" i="2"/>
  <c r="V236" i="2"/>
  <c r="T236" i="2"/>
  <c r="V247" i="2"/>
  <c r="V161" i="2"/>
  <c r="V169" i="2"/>
  <c r="V174" i="2"/>
  <c r="T174" i="2"/>
  <c r="V240" i="2"/>
  <c r="T240" i="2"/>
  <c r="V248" i="2"/>
  <c r="T248" i="2"/>
  <c r="V262" i="2"/>
  <c r="V274" i="2"/>
  <c r="V283" i="2"/>
  <c r="V171" i="2"/>
  <c r="T171" i="2"/>
  <c r="V183" i="2"/>
  <c r="T183" i="2"/>
  <c r="V195" i="2"/>
  <c r="T195" i="2"/>
  <c r="V218" i="2"/>
  <c r="T218" i="2"/>
  <c r="V260" i="2"/>
  <c r="T260" i="2"/>
  <c r="V264" i="2"/>
  <c r="T264" i="2"/>
  <c r="V272" i="2"/>
  <c r="T272" i="2"/>
  <c r="V276" i="2"/>
  <c r="T276" i="2"/>
  <c r="V284" i="2"/>
  <c r="T284" i="2"/>
  <c r="V159" i="2"/>
  <c r="T159" i="2"/>
  <c r="V222" i="2"/>
  <c r="T222" i="2"/>
  <c r="V230" i="2"/>
  <c r="T230" i="2"/>
  <c r="V234" i="2"/>
  <c r="T234" i="2"/>
  <c r="P158" i="2"/>
  <c r="P161" i="2"/>
  <c r="P164" i="2"/>
  <c r="P167" i="2"/>
  <c r="P170" i="2"/>
  <c r="P173" i="2"/>
  <c r="P176" i="2"/>
  <c r="P179" i="2"/>
  <c r="P188" i="2"/>
  <c r="P191" i="2"/>
  <c r="P194" i="2"/>
  <c r="P200" i="2"/>
  <c r="P203" i="2"/>
  <c r="P206" i="2"/>
  <c r="P209" i="2"/>
  <c r="T210" i="2"/>
  <c r="P212" i="2"/>
  <c r="P215" i="2"/>
  <c r="P221" i="2"/>
  <c r="P224" i="2"/>
  <c r="P227" i="2"/>
  <c r="P230" i="2"/>
  <c r="P233" i="2"/>
  <c r="P239" i="2"/>
  <c r="P242" i="2"/>
  <c r="P245" i="2"/>
  <c r="P248" i="2"/>
  <c r="P257" i="2"/>
  <c r="P260" i="2"/>
  <c r="P263" i="2"/>
  <c r="P266" i="2"/>
  <c r="P269" i="2"/>
  <c r="P272" i="2"/>
  <c r="P275" i="2"/>
  <c r="P278" i="2"/>
  <c r="P281" i="2"/>
  <c r="P284" i="2"/>
  <c r="P157" i="2"/>
  <c r="P160" i="2"/>
  <c r="P163" i="2"/>
  <c r="P166" i="2"/>
  <c r="P169" i="2"/>
  <c r="P172" i="2"/>
  <c r="P178" i="2"/>
  <c r="P181" i="2"/>
  <c r="P184" i="2"/>
  <c r="P187" i="2"/>
  <c r="P190" i="2"/>
  <c r="P199" i="2"/>
  <c r="P208" i="2"/>
  <c r="P211" i="2"/>
  <c r="P214" i="2"/>
  <c r="P217" i="2"/>
  <c r="P220" i="2"/>
  <c r="P223" i="2"/>
  <c r="P226" i="2"/>
  <c r="P229" i="2"/>
  <c r="P232" i="2"/>
  <c r="P235" i="2"/>
  <c r="P238" i="2"/>
  <c r="P241" i="2"/>
  <c r="P244" i="2"/>
  <c r="P247" i="2"/>
  <c r="P250" i="2"/>
  <c r="P253" i="2"/>
  <c r="P256" i="2"/>
  <c r="P259" i="2"/>
  <c r="P262" i="2"/>
  <c r="P265" i="2"/>
  <c r="P268" i="2"/>
  <c r="P271" i="2"/>
  <c r="P274" i="2"/>
  <c r="P277" i="2"/>
  <c r="P280" i="2"/>
  <c r="P283" i="2"/>
  <c r="P156" i="2"/>
  <c r="P159" i="2"/>
  <c r="P162" i="2"/>
  <c r="P168" i="2"/>
  <c r="P171" i="2"/>
  <c r="P174" i="2"/>
  <c r="P180" i="2"/>
  <c r="P183" i="2"/>
  <c r="P186" i="2"/>
  <c r="P192" i="2"/>
  <c r="P195" i="2"/>
  <c r="P198" i="2"/>
  <c r="P201" i="2"/>
  <c r="P204" i="2"/>
  <c r="G16" i="5"/>
  <c r="G26" i="5" s="1"/>
  <c r="F58" i="5"/>
  <c r="F81" i="5"/>
  <c r="E72" i="5"/>
  <c r="D83" i="5"/>
  <c r="F83" i="5"/>
  <c r="D71" i="5"/>
  <c r="D72" i="5" s="1"/>
  <c r="F72" i="5"/>
  <c r="D79" i="5"/>
  <c r="D81" i="5" s="1"/>
  <c r="D68" i="5"/>
  <c r="G58" i="5"/>
  <c r="G90" i="5" s="1"/>
  <c r="I58" i="5"/>
  <c r="E58" i="5" s="1"/>
  <c r="V251" i="2" l="1"/>
  <c r="T251" i="2"/>
  <c r="T115" i="2"/>
  <c r="V115" i="2"/>
  <c r="T67" i="2"/>
  <c r="V67" i="2"/>
  <c r="T91" i="2"/>
  <c r="V91" i="2"/>
  <c r="T33" i="2"/>
  <c r="V33" i="2"/>
  <c r="T55" i="2"/>
  <c r="V55" i="2"/>
  <c r="T49" i="2"/>
  <c r="V49" i="2"/>
  <c r="T134" i="2"/>
  <c r="T109" i="2"/>
  <c r="V109" i="2"/>
  <c r="T85" i="2"/>
  <c r="V85" i="2"/>
  <c r="T196" i="2"/>
  <c r="V196" i="2"/>
  <c r="T121" i="2"/>
  <c r="V121" i="2"/>
  <c r="T97" i="2"/>
  <c r="V97" i="2"/>
  <c r="V137" i="2"/>
  <c r="T137" i="2"/>
  <c r="T52" i="2"/>
  <c r="V52" i="2"/>
  <c r="V116" i="2"/>
  <c r="T116" i="2"/>
  <c r="T42" i="2"/>
  <c r="V42" i="2"/>
  <c r="V41" i="2"/>
  <c r="T41" i="2"/>
  <c r="V151" i="2"/>
  <c r="T151" i="2"/>
  <c r="V92" i="2"/>
  <c r="T92" i="2"/>
  <c r="T76" i="2"/>
  <c r="V76" i="2"/>
  <c r="V140" i="2"/>
  <c r="T140" i="2"/>
  <c r="T58" i="2"/>
  <c r="V58" i="2"/>
  <c r="V122" i="2"/>
  <c r="T122" i="2"/>
  <c r="T64" i="2"/>
  <c r="V64" i="2"/>
  <c r="V89" i="2"/>
  <c r="T89" i="2"/>
  <c r="V83" i="2"/>
  <c r="T83" i="2"/>
  <c r="V19" i="2"/>
  <c r="H20" i="5" s="1"/>
  <c r="T19" i="2"/>
  <c r="V142" i="2"/>
  <c r="T142" i="2"/>
  <c r="V104" i="2"/>
  <c r="T104" i="2"/>
  <c r="V101" i="2"/>
  <c r="T101" i="2"/>
  <c r="T46" i="2"/>
  <c r="V46" i="2"/>
  <c r="T40" i="2"/>
  <c r="V40" i="2"/>
  <c r="T148" i="2"/>
  <c r="V148" i="2"/>
  <c r="V154" i="2"/>
  <c r="T154" i="2"/>
  <c r="V62" i="2"/>
  <c r="T62" i="2"/>
  <c r="V149" i="2"/>
  <c r="T149" i="2"/>
  <c r="V77" i="2"/>
  <c r="T77" i="2"/>
  <c r="V13" i="2"/>
  <c r="H18" i="5" s="1"/>
  <c r="T13" i="2"/>
  <c r="V44" i="2"/>
  <c r="T44" i="2"/>
  <c r="V95" i="2"/>
  <c r="T95" i="2"/>
  <c r="V110" i="2"/>
  <c r="T110" i="2"/>
  <c r="T155" i="2"/>
  <c r="V155" i="2"/>
  <c r="V56" i="2"/>
  <c r="T56" i="2"/>
  <c r="V128" i="2"/>
  <c r="T128" i="2"/>
  <c r="V86" i="2"/>
  <c r="T86" i="2"/>
  <c r="V131" i="2"/>
  <c r="T131" i="2"/>
  <c r="V146" i="2"/>
  <c r="T146" i="2"/>
  <c r="V80" i="2"/>
  <c r="T80" i="2"/>
  <c r="T139" i="2"/>
  <c r="V139" i="2"/>
  <c r="V145" i="2"/>
  <c r="T145" i="2"/>
  <c r="V125" i="2"/>
  <c r="T125" i="2"/>
  <c r="V107" i="2"/>
  <c r="T107" i="2"/>
  <c r="V119" i="2"/>
  <c r="T119" i="2"/>
  <c r="V71" i="2"/>
  <c r="T71" i="2"/>
  <c r="V10" i="2"/>
  <c r="T10" i="2"/>
  <c r="V133" i="2"/>
  <c r="T133" i="2"/>
  <c r="V74" i="2"/>
  <c r="T74" i="2"/>
  <c r="T82" i="2"/>
  <c r="V82" i="2"/>
  <c r="V65" i="2"/>
  <c r="T65" i="2"/>
  <c r="V98" i="2"/>
  <c r="T98" i="2"/>
  <c r="V68" i="2"/>
  <c r="T68" i="2"/>
  <c r="V113" i="2"/>
  <c r="T113" i="2"/>
  <c r="V50" i="2"/>
  <c r="T50" i="2"/>
  <c r="T70" i="2"/>
  <c r="V70" i="2"/>
  <c r="T130" i="2"/>
  <c r="V130" i="2"/>
  <c r="V59" i="2"/>
  <c r="T59" i="2"/>
  <c r="V25" i="2"/>
  <c r="T25" i="2"/>
  <c r="V47" i="2"/>
  <c r="T47" i="2"/>
  <c r="V136" i="2"/>
  <c r="T136" i="2"/>
  <c r="V53" i="2"/>
  <c r="T53" i="2"/>
  <c r="E79" i="5"/>
  <c r="D82" i="5"/>
  <c r="E77" i="5"/>
  <c r="E78" i="5"/>
  <c r="E80" i="5"/>
  <c r="G80" i="5"/>
  <c r="G77" i="5"/>
  <c r="G78" i="5"/>
  <c r="F82" i="5"/>
  <c r="G79" i="5"/>
  <c r="E90" i="5"/>
  <c r="F33" i="5"/>
  <c r="G91" i="5"/>
  <c r="E60" i="5"/>
  <c r="I17" i="5"/>
  <c r="H23" i="5"/>
  <c r="D37" i="5"/>
  <c r="F37" i="5"/>
  <c r="D90" i="5" l="1"/>
  <c r="H17" i="5"/>
  <c r="E17" i="5" s="1"/>
  <c r="I20" i="5"/>
  <c r="I19" i="5"/>
  <c r="I23" i="5"/>
  <c r="I22" i="5" s="1"/>
  <c r="I18" i="5"/>
  <c r="H19" i="5"/>
  <c r="E19" i="5" s="1"/>
  <c r="I21" i="5"/>
  <c r="H21" i="5"/>
  <c r="H90" i="5"/>
  <c r="H91" i="5" s="1"/>
  <c r="G81" i="5"/>
  <c r="E20" i="5"/>
  <c r="E81" i="5"/>
  <c r="H22" i="5"/>
  <c r="D22" i="5"/>
  <c r="E23" i="5"/>
  <c r="E22" i="5" s="1"/>
  <c r="F16" i="5"/>
  <c r="F26" i="5" s="1"/>
  <c r="D33" i="5" s="1"/>
  <c r="E18" i="5"/>
  <c r="H16" i="5" l="1"/>
  <c r="H26" i="5" s="1"/>
  <c r="H27" i="5" s="1"/>
  <c r="I16" i="5"/>
  <c r="E21" i="5"/>
  <c r="D38" i="5"/>
  <c r="E27" i="5"/>
  <c r="E16" i="5"/>
  <c r="D16" i="5"/>
  <c r="D27" i="5" s="1"/>
  <c r="I26" i="5"/>
  <c r="F38" i="5" l="1"/>
  <c r="E34" i="5"/>
  <c r="E35" i="5"/>
  <c r="E33" i="5"/>
  <c r="E37" i="5"/>
  <c r="E36" i="5"/>
  <c r="E26" i="5"/>
  <c r="I27" i="5"/>
  <c r="D26" i="5"/>
  <c r="G36" i="5" l="1"/>
  <c r="G33" i="5"/>
  <c r="E91" i="5"/>
  <c r="A1" i="5" s="1"/>
  <c r="G37" i="5"/>
  <c r="G35" i="5"/>
  <c r="G34" i="5"/>
  <c r="E38" i="5"/>
  <c r="G38" i="5" l="1"/>
</calcChain>
</file>

<file path=xl/sharedStrings.xml><?xml version="1.0" encoding="utf-8"?>
<sst xmlns="http://schemas.openxmlformats.org/spreadsheetml/2006/main" count="1184" uniqueCount="764">
  <si>
    <t>20 -</t>
  </si>
  <si>
    <t>21 -</t>
  </si>
  <si>
    <t>22 -</t>
  </si>
  <si>
    <t>23 -</t>
  </si>
  <si>
    <t>2X -</t>
  </si>
  <si>
    <t>6X -</t>
  </si>
  <si>
    <t>%</t>
  </si>
  <si>
    <t>Partida</t>
  </si>
  <si>
    <t>ADO-17</t>
  </si>
  <si>
    <t>ADO-12</t>
  </si>
  <si>
    <t>capit</t>
  </si>
  <si>
    <t>INFORMACIÓN SOBRE PLAZOS DE PAGO</t>
  </si>
  <si>
    <t>Entidad local:</t>
  </si>
  <si>
    <t>Ejercicio:</t>
  </si>
  <si>
    <t>Trimestre:</t>
  </si>
  <si>
    <t>1.1. Por clasificación económica</t>
  </si>
  <si>
    <t>1.2. Por plazos</t>
  </si>
  <si>
    <t>Pagos en el trimestre</t>
  </si>
  <si>
    <t>Plazo de pago</t>
  </si>
  <si>
    <t>(promedio de días)</t>
  </si>
  <si>
    <t>Total</t>
  </si>
  <si>
    <t>Dentro del plazo legal</t>
  </si>
  <si>
    <t>Fuera del plazo legal</t>
  </si>
  <si>
    <t>Pagos realizados en el trimestre</t>
  </si>
  <si>
    <t>Número de pagos</t>
  </si>
  <si>
    <t>Importe total</t>
  </si>
  <si>
    <t>Arrendamientos y cánones</t>
  </si>
  <si>
    <t>Reparaciones, mantenimiento y conservación</t>
  </si>
  <si>
    <t>Material, suministros y otros</t>
  </si>
  <si>
    <t>Indemnizaciones por razón del servicio</t>
  </si>
  <si>
    <t>Otros</t>
  </si>
  <si>
    <t>Inversiones reales</t>
  </si>
  <si>
    <t>Pagos pendientes de aplicar al presupuesto</t>
  </si>
  <si>
    <t>* sólo facturas correspondientes a capítulos 2 y 6</t>
  </si>
  <si>
    <t>Pagos pendientes de aplicar al presupuesto*</t>
  </si>
  <si>
    <t>Gasto en bienes corrientes y servicios</t>
  </si>
  <si>
    <t>Número de días</t>
  </si>
  <si>
    <t>30 días o menos</t>
  </si>
  <si>
    <t>De 31 a 40 días</t>
  </si>
  <si>
    <t>De 51 a 60 días</t>
  </si>
  <si>
    <t>Más de 60 días</t>
  </si>
  <si>
    <t>Pagos realizados</t>
  </si>
  <si>
    <t>Número de facturas</t>
  </si>
  <si>
    <t>Pendientes de pago al finalizar el trimestre</t>
  </si>
  <si>
    <t>Número de operaciones</t>
  </si>
  <si>
    <t>Pendientes de aplicación al presupuesto</t>
  </si>
  <si>
    <t>Plazo
(promedio de días)</t>
  </si>
  <si>
    <t>Número</t>
  </si>
  <si>
    <t>De 31 a 60 días</t>
  </si>
  <si>
    <t>De 61 a 90 días</t>
  </si>
  <si>
    <t>Más de 90 días</t>
  </si>
  <si>
    <t>4. Plazo medio de pago de la entidad (PMP)</t>
  </si>
  <si>
    <t>PMP del trimestre</t>
  </si>
  <si>
    <t>Observaciones sobre el PMP:</t>
  </si>
  <si>
    <t>Ratio</t>
  </si>
  <si>
    <t>Facturas sin obligación reconocida</t>
  </si>
  <si>
    <t>PMP</t>
  </si>
  <si>
    <t>Importe</t>
  </si>
  <si>
    <t>Operaciones pagadas</t>
  </si>
  <si>
    <t>Operaciones pendientes de pago</t>
  </si>
  <si>
    <t>De las de fuera de plazo</t>
  </si>
  <si>
    <t>Facturas y documento justificativos
pendientes de pago al final del trimestre</t>
  </si>
  <si>
    <t>Facturas y documentos justificativos 
sin obligación reconocida
pasados más tres meses desde su registro</t>
  </si>
  <si>
    <t>3.1. Con más de tres meses desde su entrada en registro</t>
  </si>
  <si>
    <t>3. Facturas y documentos justificativos sin obligación reconocida al finalizar el trimestre</t>
  </si>
  <si>
    <t>3.2. Número de días desde su entrada en registro</t>
  </si>
  <si>
    <t>Facturas y documentos justificativos
sin obligación reconocida</t>
  </si>
  <si>
    <t>1. Pagos realizados en el trimestre. Plazo desde el reconocimiento de la obligación.</t>
  </si>
  <si>
    <t>2. Facturas pendientes de pago. Plazo desde el reconocimiento de la obligación.</t>
  </si>
  <si>
    <t>Facturas pagadas en el trimestre</t>
  </si>
  <si>
    <t>Número expediente</t>
  </si>
  <si>
    <t>Fecha fra</t>
  </si>
  <si>
    <t>Número fra</t>
  </si>
  <si>
    <t>Código Tercero</t>
  </si>
  <si>
    <t>Tercero</t>
  </si>
  <si>
    <t>Concepto</t>
  </si>
  <si>
    <t>Fecha Registro</t>
  </si>
  <si>
    <t>Fecha Descent.</t>
  </si>
  <si>
    <t>Fecha O</t>
  </si>
  <si>
    <t>Fecha P</t>
  </si>
  <si>
    <t>Plazo R-O</t>
  </si>
  <si>
    <t>Plazo
 O-P</t>
  </si>
  <si>
    <t>Plazo
 R-P</t>
  </si>
  <si>
    <t>Artic</t>
  </si>
  <si>
    <t>ponderación 1</t>
  </si>
  <si>
    <t>ponderación 2</t>
  </si>
  <si>
    <t>En plazo</t>
  </si>
  <si>
    <t>Plazo
 O
 - fin Trim</t>
  </si>
  <si>
    <t>Plazo
 R 
  - Fin Trim</t>
  </si>
  <si>
    <t>Fin trim.</t>
  </si>
  <si>
    <t>Las que se quedan sin pagar en el trimestre</t>
  </si>
  <si>
    <t>OARSOALDEA</t>
  </si>
  <si>
    <t>FCC2200868</t>
  </si>
  <si>
    <t>10/2022</t>
  </si>
  <si>
    <t>20</t>
  </si>
  <si>
    <t>FCC2200961</t>
  </si>
  <si>
    <t>FVC2200010</t>
  </si>
  <si>
    <t>FCC2200971</t>
  </si>
  <si>
    <t>0000508443/2022</t>
  </si>
  <si>
    <t>FCC2200972</t>
  </si>
  <si>
    <t>FFF76631</t>
  </si>
  <si>
    <t>FCC2200984</t>
  </si>
  <si>
    <t>11/2022</t>
  </si>
  <si>
    <t>FCC2201019</t>
  </si>
  <si>
    <t>0000544447/2022</t>
  </si>
  <si>
    <t>FCC2201039</t>
  </si>
  <si>
    <t>FFG35478</t>
  </si>
  <si>
    <t>FCC2201077</t>
  </si>
  <si>
    <t>0/005884/2022</t>
  </si>
  <si>
    <t>FCC2201079</t>
  </si>
  <si>
    <t>A2223107296</t>
  </si>
  <si>
    <t>FCC2201080</t>
  </si>
  <si>
    <t>028/2022</t>
  </si>
  <si>
    <t>FCC2201108</t>
  </si>
  <si>
    <t>33/2022</t>
  </si>
  <si>
    <t>FCC2201110</t>
  </si>
  <si>
    <t>032/2022</t>
  </si>
  <si>
    <t>FCC2201131</t>
  </si>
  <si>
    <t>12/2022</t>
  </si>
  <si>
    <t>FCC2201162</t>
  </si>
  <si>
    <t>0000600000/2022</t>
  </si>
  <si>
    <t>FCC2201166</t>
  </si>
  <si>
    <t>FVC2200011</t>
  </si>
  <si>
    <t>FCC2201168</t>
  </si>
  <si>
    <t>FVC2200012</t>
  </si>
  <si>
    <t>FCC2201190</t>
  </si>
  <si>
    <t>A2223126680</t>
  </si>
  <si>
    <t>FCC2201200</t>
  </si>
  <si>
    <t>0/006466/2022</t>
  </si>
  <si>
    <t>FCC2201253</t>
  </si>
  <si>
    <t>FFG55753</t>
  </si>
  <si>
    <t>FCC2201260</t>
  </si>
  <si>
    <t>0/006632/2022</t>
  </si>
  <si>
    <t>FCC2201262</t>
  </si>
  <si>
    <t>0/006711/2022</t>
  </si>
  <si>
    <t>FCC2201300</t>
  </si>
  <si>
    <t>A2223145470</t>
  </si>
  <si>
    <t>FCC2200917</t>
  </si>
  <si>
    <t>20220810</t>
  </si>
  <si>
    <t>21</t>
  </si>
  <si>
    <t>FCC2200978</t>
  </si>
  <si>
    <t>CONTRATO 1663</t>
  </si>
  <si>
    <t>FCC2201001</t>
  </si>
  <si>
    <t>P20012923</t>
  </si>
  <si>
    <t>FCC2201004</t>
  </si>
  <si>
    <t>1.145/2022</t>
  </si>
  <si>
    <t>FCC2201043</t>
  </si>
  <si>
    <t>20220949</t>
  </si>
  <si>
    <t>FCC2201053</t>
  </si>
  <si>
    <t>1.196/2022</t>
  </si>
  <si>
    <t>FCC2201062</t>
  </si>
  <si>
    <t>10177</t>
  </si>
  <si>
    <t>FCC2201063</t>
  </si>
  <si>
    <t>10175</t>
  </si>
  <si>
    <t>FCC2201069</t>
  </si>
  <si>
    <t>00000427</t>
  </si>
  <si>
    <t>FCC2201074</t>
  </si>
  <si>
    <t>2402540/AM</t>
  </si>
  <si>
    <t>FCC2201091</t>
  </si>
  <si>
    <t>22/316</t>
  </si>
  <si>
    <t>FCC2201095</t>
  </si>
  <si>
    <t>13</t>
  </si>
  <si>
    <t>FCC2201097</t>
  </si>
  <si>
    <t>CONTRATO 1828</t>
  </si>
  <si>
    <t>FCC2201102</t>
  </si>
  <si>
    <t>4209008</t>
  </si>
  <si>
    <t>FCC2201106</t>
  </si>
  <si>
    <t>A/003570</t>
  </si>
  <si>
    <t>FCC2201111</t>
  </si>
  <si>
    <t>FV220292</t>
  </si>
  <si>
    <t>FCC2201137</t>
  </si>
  <si>
    <t>10178</t>
  </si>
  <si>
    <t>FCC2201145</t>
  </si>
  <si>
    <t>00000491</t>
  </si>
  <si>
    <t>FCC2201150</t>
  </si>
  <si>
    <t>2022/1.565</t>
  </si>
  <si>
    <t>FCC2201167</t>
  </si>
  <si>
    <t>CONTRATO 1925</t>
  </si>
  <si>
    <t>FCC2201169</t>
  </si>
  <si>
    <t>20221087</t>
  </si>
  <si>
    <t>FCC2201170</t>
  </si>
  <si>
    <t>10194</t>
  </si>
  <si>
    <t>FCC2201185</t>
  </si>
  <si>
    <t>4210001</t>
  </si>
  <si>
    <t>FCC2201201</t>
  </si>
  <si>
    <t>22253</t>
  </si>
  <si>
    <t>FCC2201202</t>
  </si>
  <si>
    <t>112F 37431</t>
  </si>
  <si>
    <t>FCC2201204</t>
  </si>
  <si>
    <t>A/003826</t>
  </si>
  <si>
    <t>FCC2201205</t>
  </si>
  <si>
    <t>A/003827</t>
  </si>
  <si>
    <t>FCC2201266</t>
  </si>
  <si>
    <t>1.348/2022</t>
  </si>
  <si>
    <t>FCC2201347</t>
  </si>
  <si>
    <t>B2517913</t>
  </si>
  <si>
    <t>FCC2201348</t>
  </si>
  <si>
    <t>B2531769</t>
  </si>
  <si>
    <t>FCC2201349</t>
  </si>
  <si>
    <t>B2533424</t>
  </si>
  <si>
    <t>FCC2201350</t>
  </si>
  <si>
    <t>B2537569</t>
  </si>
  <si>
    <t>FCC2201369</t>
  </si>
  <si>
    <t>PCC/22010134</t>
  </si>
  <si>
    <t>FCC2201376</t>
  </si>
  <si>
    <t>PC-000002237</t>
  </si>
  <si>
    <t>FCC2201377</t>
  </si>
  <si>
    <t>PC-000002320</t>
  </si>
  <si>
    <t>FCC2200967</t>
  </si>
  <si>
    <t>FS2/2022/00019790</t>
  </si>
  <si>
    <t>22</t>
  </si>
  <si>
    <t>FCC2200994</t>
  </si>
  <si>
    <t>TB-2022-F 2</t>
  </si>
  <si>
    <t>FCC2200995</t>
  </si>
  <si>
    <t>TB-2022-F 3</t>
  </si>
  <si>
    <t>FCC2200996</t>
  </si>
  <si>
    <t>5950</t>
  </si>
  <si>
    <t>FCC2200997</t>
  </si>
  <si>
    <t>FS2/2022/00020869</t>
  </si>
  <si>
    <t>FCC2201036</t>
  </si>
  <si>
    <t>7250191639</t>
  </si>
  <si>
    <t>FCC2201045</t>
  </si>
  <si>
    <t>GS9284</t>
  </si>
  <si>
    <t>FCC2201070</t>
  </si>
  <si>
    <t>7250191637</t>
  </si>
  <si>
    <t>FCC2201071</t>
  </si>
  <si>
    <t>7250191638</t>
  </si>
  <si>
    <t>FCC2201073</t>
  </si>
  <si>
    <t>FV2022-316</t>
  </si>
  <si>
    <t>FCC2201075</t>
  </si>
  <si>
    <t>6669</t>
  </si>
  <si>
    <t>FCC2201076</t>
  </si>
  <si>
    <t>202203032</t>
  </si>
  <si>
    <t>FCC2201081</t>
  </si>
  <si>
    <t>4844 VN</t>
  </si>
  <si>
    <t>FCC2201082</t>
  </si>
  <si>
    <t>FS2/2022/00022038</t>
  </si>
  <si>
    <t>FCC2201083</t>
  </si>
  <si>
    <t>FS2/2022/00021437</t>
  </si>
  <si>
    <t>FCC2201084</t>
  </si>
  <si>
    <t>027/2022</t>
  </si>
  <si>
    <t>FCC2201104</t>
  </si>
  <si>
    <t>FV2022-327</t>
  </si>
  <si>
    <t>FCC2201105</t>
  </si>
  <si>
    <t>FV2022-328</t>
  </si>
  <si>
    <t>FCC2201107</t>
  </si>
  <si>
    <t>GT5730</t>
  </si>
  <si>
    <t>FCC2201109</t>
  </si>
  <si>
    <t>031/2022</t>
  </si>
  <si>
    <t>FCC2200646</t>
  </si>
  <si>
    <t>GT6910</t>
  </si>
  <si>
    <t>FCC2201123</t>
  </si>
  <si>
    <t>FV2022-341</t>
  </si>
  <si>
    <t>FCC2201125</t>
  </si>
  <si>
    <t>FS2/2022/00023658</t>
  </si>
  <si>
    <t>FCC2201127</t>
  </si>
  <si>
    <t>FS2/2022/00023645</t>
  </si>
  <si>
    <t>FCC2201193</t>
  </si>
  <si>
    <t>202203387</t>
  </si>
  <si>
    <t>FCC2201212</t>
  </si>
  <si>
    <t>8202</t>
  </si>
  <si>
    <t>FCC2201213</t>
  </si>
  <si>
    <t>7461</t>
  </si>
  <si>
    <t>FCC2201232</t>
  </si>
  <si>
    <t>00196</t>
  </si>
  <si>
    <t>FCC2201233</t>
  </si>
  <si>
    <t>FS2/2022/00024211</t>
  </si>
  <si>
    <t>FCC2201234</t>
  </si>
  <si>
    <t>FS2/2022/00025180</t>
  </si>
  <si>
    <t>FCC2201239</t>
  </si>
  <si>
    <t>21221129030000022</t>
  </si>
  <si>
    <t>FCC2201240</t>
  </si>
  <si>
    <t>21221129030000023</t>
  </si>
  <si>
    <t>FCC2201241</t>
  </si>
  <si>
    <t>09221129030003164</t>
  </si>
  <si>
    <t>FCC2201242</t>
  </si>
  <si>
    <t>21221129030000024</t>
  </si>
  <si>
    <t>FCC2201243</t>
  </si>
  <si>
    <t>21221129030000030</t>
  </si>
  <si>
    <t>FCC2201244</t>
  </si>
  <si>
    <t>21221129030008287</t>
  </si>
  <si>
    <t>FCC2201245</t>
  </si>
  <si>
    <t>21221129030010595</t>
  </si>
  <si>
    <t>FCC2201246</t>
  </si>
  <si>
    <t>21221129030010594</t>
  </si>
  <si>
    <t>FCC2201247</t>
  </si>
  <si>
    <t>21221129030010593</t>
  </si>
  <si>
    <t>FCC2201248</t>
  </si>
  <si>
    <t>21221129030019556</t>
  </si>
  <si>
    <t>FCC2201249</t>
  </si>
  <si>
    <t>21221129030018661</t>
  </si>
  <si>
    <t>FCC2201250</t>
  </si>
  <si>
    <t>21221129030010747</t>
  </si>
  <si>
    <t>FCC2201251</t>
  </si>
  <si>
    <t>21221129030009298</t>
  </si>
  <si>
    <t>FCC2201252</t>
  </si>
  <si>
    <t>21221129030003809</t>
  </si>
  <si>
    <t>FCC2200907</t>
  </si>
  <si>
    <t>061022</t>
  </si>
  <si>
    <t>29</t>
  </si>
  <si>
    <t>FCC2200953</t>
  </si>
  <si>
    <t>340316182</t>
  </si>
  <si>
    <t>FCC2200959</t>
  </si>
  <si>
    <t>TA6Z30053903</t>
  </si>
  <si>
    <t>FCC2200960</t>
  </si>
  <si>
    <t>28-J2U1-085312</t>
  </si>
  <si>
    <t>FCC2200962</t>
  </si>
  <si>
    <t>G17484</t>
  </si>
  <si>
    <t>FCC2200970</t>
  </si>
  <si>
    <t>TB-2022-F 10</t>
  </si>
  <si>
    <t>FCC2200979</t>
  </si>
  <si>
    <t>22.042</t>
  </si>
  <si>
    <t>FCC2200993</t>
  </si>
  <si>
    <t>B 22000395</t>
  </si>
  <si>
    <t>FCC2200998</t>
  </si>
  <si>
    <t>025ADM1</t>
  </si>
  <si>
    <t>FCC2200999</t>
  </si>
  <si>
    <t>TB-2022-F 40</t>
  </si>
  <si>
    <t>FCC2201000</t>
  </si>
  <si>
    <t>256/2022</t>
  </si>
  <si>
    <t>FCC2201003</t>
  </si>
  <si>
    <t>TB-2022-A 1 26 10</t>
  </si>
  <si>
    <t>FCC2201005</t>
  </si>
  <si>
    <t>22/38</t>
  </si>
  <si>
    <t>FCC2201006</t>
  </si>
  <si>
    <t>FE22-056</t>
  </si>
  <si>
    <t>FCC2201009</t>
  </si>
  <si>
    <t>1396</t>
  </si>
  <si>
    <t>FCC2201010</t>
  </si>
  <si>
    <t>22-S-9.410</t>
  </si>
  <si>
    <t>FCC2201014</t>
  </si>
  <si>
    <t>500/22</t>
  </si>
  <si>
    <t>FCC2201015</t>
  </si>
  <si>
    <t>09221020010075146</t>
  </si>
  <si>
    <t>FCC2201020</t>
  </si>
  <si>
    <t>21221028030011984</t>
  </si>
  <si>
    <t>FCC2201021</t>
  </si>
  <si>
    <t>21221028030011983</t>
  </si>
  <si>
    <t>FCC2201022</t>
  </si>
  <si>
    <t>21221028030011985</t>
  </si>
  <si>
    <t>FCC2201023</t>
  </si>
  <si>
    <t>21221028030010570</t>
  </si>
  <si>
    <t>FCC2201024</t>
  </si>
  <si>
    <t>21221028030012151</t>
  </si>
  <si>
    <t>FCC2201025</t>
  </si>
  <si>
    <t>21221028030021497</t>
  </si>
  <si>
    <t>FCC2201026</t>
  </si>
  <si>
    <t>21221028030004475</t>
  </si>
  <si>
    <t>FCC2201027</t>
  </si>
  <si>
    <t>21221028030022479</t>
  </si>
  <si>
    <t>FCC2201028</t>
  </si>
  <si>
    <t>21221028030000036</t>
  </si>
  <si>
    <t>FCC2201029</t>
  </si>
  <si>
    <t>21221028030009537</t>
  </si>
  <si>
    <t>FCC2201030</t>
  </si>
  <si>
    <t>21221028030000026</t>
  </si>
  <si>
    <t>FCC2201031</t>
  </si>
  <si>
    <t>21221028030000027</t>
  </si>
  <si>
    <t>FCC2201032</t>
  </si>
  <si>
    <t>21221028030000028</t>
  </si>
  <si>
    <t>FCC2201033</t>
  </si>
  <si>
    <t>09221028030003020</t>
  </si>
  <si>
    <t>FCC2201034</t>
  </si>
  <si>
    <t>4600592031</t>
  </si>
  <si>
    <t>FCC2201035</t>
  </si>
  <si>
    <t>SUFN/2202498</t>
  </si>
  <si>
    <t>FCC2201037</t>
  </si>
  <si>
    <t>220.998</t>
  </si>
  <si>
    <t>FCC2201038</t>
  </si>
  <si>
    <t>221.039</t>
  </si>
  <si>
    <t>FCC2201040</t>
  </si>
  <si>
    <t>2022/22072</t>
  </si>
  <si>
    <t>FCC2201041</t>
  </si>
  <si>
    <t>2022/22070</t>
  </si>
  <si>
    <t>FCC2201042</t>
  </si>
  <si>
    <t>TA6Z40053326</t>
  </si>
  <si>
    <t>FCC2201044</t>
  </si>
  <si>
    <t>F202268</t>
  </si>
  <si>
    <t>FCC2201051</t>
  </si>
  <si>
    <t>F20225</t>
  </si>
  <si>
    <t>FCC2201052</t>
  </si>
  <si>
    <t>G 17570</t>
  </si>
  <si>
    <t>FCC2201054</t>
  </si>
  <si>
    <t>TB-2022-F 16</t>
  </si>
  <si>
    <t>FCC2201057</t>
  </si>
  <si>
    <t>002179</t>
  </si>
  <si>
    <t>FCC2201058</t>
  </si>
  <si>
    <t>A 36206</t>
  </si>
  <si>
    <t>FCC2201059</t>
  </si>
  <si>
    <t>F22/2301</t>
  </si>
  <si>
    <t>FCC2201060</t>
  </si>
  <si>
    <t>PO-220336</t>
  </si>
  <si>
    <t>FCC2201061</t>
  </si>
  <si>
    <t>2022/137</t>
  </si>
  <si>
    <t>FCC2201065</t>
  </si>
  <si>
    <t>484/22/GIP</t>
  </si>
  <si>
    <t>FCC2201066</t>
  </si>
  <si>
    <t>2022/22071</t>
  </si>
  <si>
    <t>FCC2201067</t>
  </si>
  <si>
    <t>22000765</t>
  </si>
  <si>
    <t>FCC2201068</t>
  </si>
  <si>
    <t>0360200886</t>
  </si>
  <si>
    <t>FCC2201078</t>
  </si>
  <si>
    <t>F000002515</t>
  </si>
  <si>
    <t>FCC2201085</t>
  </si>
  <si>
    <t>B-0000128</t>
  </si>
  <si>
    <t>FCC2201086</t>
  </si>
  <si>
    <t>S 2022120</t>
  </si>
  <si>
    <t>FCC2201087</t>
  </si>
  <si>
    <t>G17579</t>
  </si>
  <si>
    <t>FCC2201089</t>
  </si>
  <si>
    <t>S 2022121</t>
  </si>
  <si>
    <t>FCC2201090</t>
  </si>
  <si>
    <t>S 2022119</t>
  </si>
  <si>
    <t>FCC2201092</t>
  </si>
  <si>
    <t>F-2022-017</t>
  </si>
  <si>
    <t>FCC2201093</t>
  </si>
  <si>
    <t>221002920/00853</t>
  </si>
  <si>
    <t>FCC2201094</t>
  </si>
  <si>
    <t>S 2022118</t>
  </si>
  <si>
    <t>FCC2201096</t>
  </si>
  <si>
    <t>221223</t>
  </si>
  <si>
    <t>FCC2201113</t>
  </si>
  <si>
    <t>E0300KNUTC</t>
  </si>
  <si>
    <t>FCC2201114</t>
  </si>
  <si>
    <t>E0300KOBLO</t>
  </si>
  <si>
    <t>FCC2201115</t>
  </si>
  <si>
    <t>E0300L1XOO</t>
  </si>
  <si>
    <t>FCC2201116</t>
  </si>
  <si>
    <t>E0300L22OY</t>
  </si>
  <si>
    <t>FCC2201117</t>
  </si>
  <si>
    <t>100119</t>
  </si>
  <si>
    <t>FCC2201124</t>
  </si>
  <si>
    <t>FBDAS-700-102226353</t>
  </si>
  <si>
    <t>FCC2201129</t>
  </si>
  <si>
    <t>2022/2358</t>
  </si>
  <si>
    <t>FCC2201130</t>
  </si>
  <si>
    <t>2022/2368</t>
  </si>
  <si>
    <t>FCC2201132</t>
  </si>
  <si>
    <t>4-000085</t>
  </si>
  <si>
    <t>FCC2201134</t>
  </si>
  <si>
    <t>22-000010</t>
  </si>
  <si>
    <t>FCC2201144</t>
  </si>
  <si>
    <t>FBADS-700-102240954</t>
  </si>
  <si>
    <t>FCC2201146</t>
  </si>
  <si>
    <t>221346</t>
  </si>
  <si>
    <t>FCC2201147</t>
  </si>
  <si>
    <t>2022107</t>
  </si>
  <si>
    <t>FCC2201148</t>
  </si>
  <si>
    <t>FBADS-700-102236144</t>
  </si>
  <si>
    <t>FCC2201149</t>
  </si>
  <si>
    <t>09221121010113981</t>
  </si>
  <si>
    <t>FCC2201151</t>
  </si>
  <si>
    <t>221.108</t>
  </si>
  <si>
    <t>FCC2201152</t>
  </si>
  <si>
    <t>221.149</t>
  </si>
  <si>
    <t>FCC2201153</t>
  </si>
  <si>
    <t>2022092</t>
  </si>
  <si>
    <t>FCC2201154</t>
  </si>
  <si>
    <t>025LUCI</t>
  </si>
  <si>
    <t>FCC2201156</t>
  </si>
  <si>
    <t>22-S-9.925</t>
  </si>
  <si>
    <t>FCC2201159</t>
  </si>
  <si>
    <t>4619176470</t>
  </si>
  <si>
    <t>FCC2201163</t>
  </si>
  <si>
    <t>AA22000218</t>
  </si>
  <si>
    <t>FCC2201165</t>
  </si>
  <si>
    <t>104279</t>
  </si>
  <si>
    <t>FCC2201171</t>
  </si>
  <si>
    <t>A/221761</t>
  </si>
  <si>
    <t>FCC2201173</t>
  </si>
  <si>
    <t>G17656</t>
  </si>
  <si>
    <t>FCC2201174</t>
  </si>
  <si>
    <t>524/22/GIP</t>
  </si>
  <si>
    <t>FCC2201175</t>
  </si>
  <si>
    <t>2206</t>
  </si>
  <si>
    <t>FCC2201177</t>
  </si>
  <si>
    <t>01/0102/FOR/000870/2022</t>
  </si>
  <si>
    <t>FCC2201178</t>
  </si>
  <si>
    <t>F22079</t>
  </si>
  <si>
    <t>FCC2201179</t>
  </si>
  <si>
    <t>BL-218</t>
  </si>
  <si>
    <t>FCC2201180</t>
  </si>
  <si>
    <t>560/22</t>
  </si>
  <si>
    <t>FCC2201181</t>
  </si>
  <si>
    <t>2022117</t>
  </si>
  <si>
    <t>FCC2201182</t>
  </si>
  <si>
    <t>FBADS-700-102251813</t>
  </si>
  <si>
    <t>FCC2201183</t>
  </si>
  <si>
    <t>0000691</t>
  </si>
  <si>
    <t>FCC2201184</t>
  </si>
  <si>
    <t>0000692</t>
  </si>
  <si>
    <t>FCC2201186</t>
  </si>
  <si>
    <t>FBADS-700-102265788</t>
  </si>
  <si>
    <t>FCC2201187</t>
  </si>
  <si>
    <t>221102845/00891</t>
  </si>
  <si>
    <t>FCC2201188</t>
  </si>
  <si>
    <t>A-213</t>
  </si>
  <si>
    <t>FCC2201189</t>
  </si>
  <si>
    <t>F22078</t>
  </si>
  <si>
    <t>FCC2201191</t>
  </si>
  <si>
    <t>2022-28</t>
  </si>
  <si>
    <t>FCC2201194</t>
  </si>
  <si>
    <t>F22077</t>
  </si>
  <si>
    <t>FCC2201199</t>
  </si>
  <si>
    <t>22/1492</t>
  </si>
  <si>
    <t>FCC2201209</t>
  </si>
  <si>
    <t>37</t>
  </si>
  <si>
    <t>FCC2201211</t>
  </si>
  <si>
    <t>22/934</t>
  </si>
  <si>
    <t>FCC2201214</t>
  </si>
  <si>
    <t>F000002582</t>
  </si>
  <si>
    <t>FCC2201216</t>
  </si>
  <si>
    <t>5303223</t>
  </si>
  <si>
    <t>FCC2201217</t>
  </si>
  <si>
    <t>T1828/2022</t>
  </si>
  <si>
    <t>FCC2201218</t>
  </si>
  <si>
    <t>66</t>
  </si>
  <si>
    <t>FCC2201219</t>
  </si>
  <si>
    <t>FV22-00479</t>
  </si>
  <si>
    <t>FCC2201220</t>
  </si>
  <si>
    <t>FV22-00480</t>
  </si>
  <si>
    <t>FCC2201221</t>
  </si>
  <si>
    <t>28-L2U1-059118</t>
  </si>
  <si>
    <t>FCC2201222</t>
  </si>
  <si>
    <t>TA6Z50053167</t>
  </si>
  <si>
    <t>FCC2201223</t>
  </si>
  <si>
    <t>FCC2201225</t>
  </si>
  <si>
    <t>2031/22</t>
  </si>
  <si>
    <t>FCC2201226</t>
  </si>
  <si>
    <t>FBDAS-700-102273949</t>
  </si>
  <si>
    <t>FCC2201227</t>
  </si>
  <si>
    <t>2022000269-C</t>
  </si>
  <si>
    <t>FCC2201228</t>
  </si>
  <si>
    <t>22.062</t>
  </si>
  <si>
    <t>FCC2201229</t>
  </si>
  <si>
    <t>B 22000767</t>
  </si>
  <si>
    <t>FCC2201230</t>
  </si>
  <si>
    <t>TB-2022-F 4</t>
  </si>
  <si>
    <t>FCC2201231</t>
  </si>
  <si>
    <t>G17685</t>
  </si>
  <si>
    <t>FCC2201235</t>
  </si>
  <si>
    <t>02200142</t>
  </si>
  <si>
    <t>FCC2201236</t>
  </si>
  <si>
    <t>11/2022/7.859</t>
  </si>
  <si>
    <t>FCC2201237</t>
  </si>
  <si>
    <t>BORME/2022/5597</t>
  </si>
  <si>
    <t>FCC2201238</t>
  </si>
  <si>
    <t>11/2022/7.963</t>
  </si>
  <si>
    <t>FCC2201254</t>
  </si>
  <si>
    <t>FBADS-700-102281423</t>
  </si>
  <si>
    <t>FCC2201255</t>
  </si>
  <si>
    <t>032</t>
  </si>
  <si>
    <t>FCC2201261</t>
  </si>
  <si>
    <t>22/357</t>
  </si>
  <si>
    <t>FCC2201265</t>
  </si>
  <si>
    <t>607/22</t>
  </si>
  <si>
    <t>FCC2201272</t>
  </si>
  <si>
    <t>22411</t>
  </si>
  <si>
    <t>FCC2201284</t>
  </si>
  <si>
    <t>F22089</t>
  </si>
  <si>
    <t>FCC2201285</t>
  </si>
  <si>
    <t>F22090</t>
  </si>
  <si>
    <t>FCC2201290</t>
  </si>
  <si>
    <t>221.219</t>
  </si>
  <si>
    <t>FCC2201291</t>
  </si>
  <si>
    <t>221.260</t>
  </si>
  <si>
    <t>FCC2201292</t>
  </si>
  <si>
    <t>221.310</t>
  </si>
  <si>
    <t>FCC2201297</t>
  </si>
  <si>
    <t>22-S-10.416</t>
  </si>
  <si>
    <t>FCC2201302</t>
  </si>
  <si>
    <t>FBADS-700-102290322</t>
  </si>
  <si>
    <t>FCC2201365</t>
  </si>
  <si>
    <t>0001725</t>
  </si>
  <si>
    <t>FCC2201366</t>
  </si>
  <si>
    <t>0001724</t>
  </si>
  <si>
    <t>FCC2201382</t>
  </si>
  <si>
    <t>025X5AI</t>
  </si>
  <si>
    <t>FCC2200963</t>
  </si>
  <si>
    <t>TB-2022-F 35</t>
  </si>
  <si>
    <t>69</t>
  </si>
  <si>
    <t>FCC2200973</t>
  </si>
  <si>
    <t>000618</t>
  </si>
  <si>
    <t>FCC2201007</t>
  </si>
  <si>
    <t>2022/21/006332</t>
  </si>
  <si>
    <t>FCC2201011</t>
  </si>
  <si>
    <t>00000325</t>
  </si>
  <si>
    <t>FCC2201012</t>
  </si>
  <si>
    <t>97/C</t>
  </si>
  <si>
    <t>FCC2201013</t>
  </si>
  <si>
    <t>98/C</t>
  </si>
  <si>
    <t>FCC2201016</t>
  </si>
  <si>
    <t>4823 VN</t>
  </si>
  <si>
    <t>FCC2201048</t>
  </si>
  <si>
    <t>2022/083</t>
  </si>
  <si>
    <t>FCC2201100</t>
  </si>
  <si>
    <t>2022/21/006697</t>
  </si>
  <si>
    <t>FCC2201101</t>
  </si>
  <si>
    <t>A/22-00714</t>
  </si>
  <si>
    <t>FCC2201103</t>
  </si>
  <si>
    <t>2022-000713</t>
  </si>
  <si>
    <t>FCC2201118</t>
  </si>
  <si>
    <t>0C22000012</t>
  </si>
  <si>
    <t>FCC2201119</t>
  </si>
  <si>
    <t>0A22000005</t>
  </si>
  <si>
    <t>FCC2201126</t>
  </si>
  <si>
    <t>00000333</t>
  </si>
  <si>
    <t>FCC2201128</t>
  </si>
  <si>
    <t>105055/22</t>
  </si>
  <si>
    <t>FCC2201138</t>
  </si>
  <si>
    <t>14-2022</t>
  </si>
  <si>
    <t>FCC2201155</t>
  </si>
  <si>
    <t>2022/21/007035</t>
  </si>
  <si>
    <t>FCC2201158</t>
  </si>
  <si>
    <t>20221044</t>
  </si>
  <si>
    <t>FCC2201164</t>
  </si>
  <si>
    <t>421</t>
  </si>
  <si>
    <t>FCC2201203</t>
  </si>
  <si>
    <t>RI/22059546</t>
  </si>
  <si>
    <t>FCC2201206</t>
  </si>
  <si>
    <t>2022/095</t>
  </si>
  <si>
    <t>FCC2201207</t>
  </si>
  <si>
    <t>2022/096</t>
  </si>
  <si>
    <t>FCC2201208</t>
  </si>
  <si>
    <t>2022/094</t>
  </si>
  <si>
    <t>FCC2201215</t>
  </si>
  <si>
    <t>2022-0266</t>
  </si>
  <si>
    <t>FCC2201263</t>
  </si>
  <si>
    <t>00000382</t>
  </si>
  <si>
    <t>FCC2201264</t>
  </si>
  <si>
    <t>1.656</t>
  </si>
  <si>
    <t>FCC2201287</t>
  </si>
  <si>
    <t>18-2022</t>
  </si>
  <si>
    <t>FCC2201346</t>
  </si>
  <si>
    <t>B2548924</t>
  </si>
  <si>
    <t>FCC2201370</t>
  </si>
  <si>
    <t>12022/441604</t>
  </si>
  <si>
    <t>FCC2201372</t>
  </si>
  <si>
    <t>12022/503271</t>
  </si>
  <si>
    <t>FCC2201373</t>
  </si>
  <si>
    <t>12022/548371</t>
  </si>
  <si>
    <t>FCC2201374</t>
  </si>
  <si>
    <t>FAC22-006921</t>
  </si>
  <si>
    <t>FCC2201375</t>
  </si>
  <si>
    <t>EC/2248017</t>
  </si>
  <si>
    <t>FCC2201378</t>
  </si>
  <si>
    <t>EC/2245544</t>
  </si>
  <si>
    <t>FCC2201379</t>
  </si>
  <si>
    <t>748</t>
  </si>
  <si>
    <t>FCC2201380</t>
  </si>
  <si>
    <t>12022/478917</t>
  </si>
  <si>
    <t>FCC2201381</t>
  </si>
  <si>
    <t>FA22010775</t>
  </si>
  <si>
    <t>FCC2201224</t>
  </si>
  <si>
    <t>CONTRATO 2009</t>
  </si>
  <si>
    <t>FCC2201256</t>
  </si>
  <si>
    <t>E0300LFWJ2</t>
  </si>
  <si>
    <t>FCC2201257</t>
  </si>
  <si>
    <t>E0300LG7B5</t>
  </si>
  <si>
    <t>FCC2201293</t>
  </si>
  <si>
    <t>39</t>
  </si>
  <si>
    <t>FCC2201294</t>
  </si>
  <si>
    <t>10216</t>
  </si>
  <si>
    <t>FCC2201305</t>
  </si>
  <si>
    <t>0302212FV0266</t>
  </si>
  <si>
    <t>FCC2201351</t>
  </si>
  <si>
    <t>B2544970</t>
  </si>
  <si>
    <t>FCC2201121</t>
  </si>
  <si>
    <t>4880 VN</t>
  </si>
  <si>
    <t>FCC2201122</t>
  </si>
  <si>
    <t>4833 VN</t>
  </si>
  <si>
    <t>FCC2201157</t>
  </si>
  <si>
    <t>7250192580</t>
  </si>
  <si>
    <t>FCC2201192</t>
  </si>
  <si>
    <t>8884</t>
  </si>
  <si>
    <t>FCC2201195</t>
  </si>
  <si>
    <t>4937 VN</t>
  </si>
  <si>
    <t>FCC2201210</t>
  </si>
  <si>
    <t>7250192579</t>
  </si>
  <si>
    <t>FCC2201327</t>
  </si>
  <si>
    <t>AA22000340</t>
  </si>
  <si>
    <t>FCC2201328</t>
  </si>
  <si>
    <t>202203734</t>
  </si>
  <si>
    <t>FCC2201361</t>
  </si>
  <si>
    <t>7250193458</t>
  </si>
  <si>
    <t>FCC2201196</t>
  </si>
  <si>
    <t>0289992022D0273264</t>
  </si>
  <si>
    <t>FCC2201258</t>
  </si>
  <si>
    <t>343128744</t>
  </si>
  <si>
    <t>FCC2201259</t>
  </si>
  <si>
    <t>341683038</t>
  </si>
  <si>
    <t>FCC2201301</t>
  </si>
  <si>
    <t>4641413508</t>
  </si>
  <si>
    <t>FCC2201304</t>
  </si>
  <si>
    <t>00003777</t>
  </si>
  <si>
    <t>FCC2201306</t>
  </si>
  <si>
    <t>S 2022167</t>
  </si>
  <si>
    <t>FCC2201307</t>
  </si>
  <si>
    <t>S 2022168</t>
  </si>
  <si>
    <t>FCC2201308</t>
  </si>
  <si>
    <t>S 2022169</t>
  </si>
  <si>
    <t>FCC2201309</t>
  </si>
  <si>
    <t>S 2022170</t>
  </si>
  <si>
    <t>FCC2201310</t>
  </si>
  <si>
    <t>S 2022171</t>
  </si>
  <si>
    <t>FCC2201323</t>
  </si>
  <si>
    <t>S 2022172</t>
  </si>
  <si>
    <t>FCC2201325</t>
  </si>
  <si>
    <t>0289992022D0303545</t>
  </si>
  <si>
    <t>FCC2201326</t>
  </si>
  <si>
    <t>T/951</t>
  </si>
  <si>
    <t>FCC2201329</t>
  </si>
  <si>
    <t>F000002650</t>
  </si>
  <si>
    <t>FCC2201330</t>
  </si>
  <si>
    <t>TB-2023-F 2</t>
  </si>
  <si>
    <t>FCC2201331</t>
  </si>
  <si>
    <t>21221229030009413</t>
  </si>
  <si>
    <t>FCC2201332</t>
  </si>
  <si>
    <t>21221229030010692</t>
  </si>
  <si>
    <t>FCC2201333</t>
  </si>
  <si>
    <t>21221229030010694</t>
  </si>
  <si>
    <t>FCC2201334</t>
  </si>
  <si>
    <t>21221229030018826</t>
  </si>
  <si>
    <t>FCC2201335</t>
  </si>
  <si>
    <t>21221229030019695</t>
  </si>
  <si>
    <t>FCC2201336</t>
  </si>
  <si>
    <t>21221229030010852</t>
  </si>
  <si>
    <t>FCC2201337</t>
  </si>
  <si>
    <t>21221229030010693</t>
  </si>
  <si>
    <t>FCC2201338</t>
  </si>
  <si>
    <t>21221229030008465</t>
  </si>
  <si>
    <t>FCC2201339</t>
  </si>
  <si>
    <t>21221229030003810</t>
  </si>
  <si>
    <t>FCC2201340</t>
  </si>
  <si>
    <t>21221229030000031</t>
  </si>
  <si>
    <t>FCC2201341</t>
  </si>
  <si>
    <t>21221229030000025</t>
  </si>
  <si>
    <t>FCC2201342</t>
  </si>
  <si>
    <t>21221229030000024</t>
  </si>
  <si>
    <t>FCC2201343</t>
  </si>
  <si>
    <t>21221229030000023</t>
  </si>
  <si>
    <t>FCC2201344</t>
  </si>
  <si>
    <t>09221229030002882</t>
  </si>
  <si>
    <t>FCC2201345</t>
  </si>
  <si>
    <t>E031</t>
  </si>
  <si>
    <t>FCC2201355</t>
  </si>
  <si>
    <t>564/22/GIP</t>
  </si>
  <si>
    <t>FCC2201364</t>
  </si>
  <si>
    <t>PO-220426</t>
  </si>
  <si>
    <t>FCC2201367</t>
  </si>
  <si>
    <t>09221220010127029</t>
  </si>
  <si>
    <t>FCC2201384</t>
  </si>
  <si>
    <t>5305205</t>
  </si>
  <si>
    <t>FCC2201385</t>
  </si>
  <si>
    <t>5305013</t>
  </si>
  <si>
    <t>FCC2201172</t>
  </si>
  <si>
    <t>F22/2518</t>
  </si>
  <si>
    <t>FCC2201371</t>
  </si>
  <si>
    <t>12022/585213</t>
  </si>
  <si>
    <t>FCC2201197</t>
  </si>
  <si>
    <t>4861 VN</t>
  </si>
  <si>
    <t>FCC2201198</t>
  </si>
  <si>
    <t>4936 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</si>
</sst>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indexed="44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2"/>
        <bgColor indexed="9"/>
      </patternFill>
    </fill>
  </fills>
  <borders count="6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 style="thin">
        <color indexed="55"/>
      </top>
      <bottom style="thin">
        <color indexed="55"/>
      </bottom>
      <diagonal/>
    </border>
    <border>
      <left/>
      <right style="medium">
        <color indexed="23"/>
      </right>
      <top/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23"/>
      </bottom>
      <diagonal/>
    </border>
    <border>
      <left/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/>
      <right style="medium">
        <color indexed="23"/>
      </right>
      <top style="thin">
        <color indexed="55"/>
      </top>
      <bottom/>
      <diagonal/>
    </border>
    <border>
      <left/>
      <right style="thin">
        <color indexed="55"/>
      </right>
      <top/>
      <bottom style="medium">
        <color indexed="23"/>
      </bottom>
      <diagonal/>
    </border>
    <border>
      <left style="thin">
        <color indexed="55"/>
      </left>
      <right style="thin">
        <color indexed="55"/>
      </right>
      <top/>
      <bottom style="medium">
        <color indexed="23"/>
      </bottom>
      <diagonal/>
    </border>
    <border>
      <left style="thin">
        <color indexed="55"/>
      </left>
      <right style="medium">
        <color indexed="23"/>
      </right>
      <top/>
      <bottom style="medium">
        <color indexed="23"/>
      </bottom>
      <diagonal/>
    </border>
    <border>
      <left/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/>
      <bottom/>
      <diagonal/>
    </border>
    <border>
      <left style="thin">
        <color indexed="55"/>
      </left>
      <right style="medium">
        <color indexed="23"/>
      </right>
      <top style="thin">
        <color indexed="55"/>
      </top>
      <bottom style="medium">
        <color indexed="23"/>
      </bottom>
      <diagonal/>
    </border>
    <border>
      <left/>
      <right style="medium">
        <color indexed="23"/>
      </right>
      <top style="thin">
        <color indexed="55"/>
      </top>
      <bottom style="medium">
        <color indexed="23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23"/>
      </left>
      <right/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medium">
        <color indexed="23"/>
      </left>
      <right/>
      <top/>
      <bottom style="thin">
        <color indexed="55"/>
      </bottom>
      <diagonal/>
    </border>
    <border>
      <left style="medium">
        <color indexed="23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medium">
        <color indexed="23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/>
      <top style="medium">
        <color indexed="23"/>
      </top>
      <bottom style="thin">
        <color indexed="55"/>
      </bottom>
      <diagonal/>
    </border>
    <border>
      <left style="medium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23"/>
      </top>
      <bottom/>
      <diagonal/>
    </border>
    <border>
      <left style="thin">
        <color indexed="55"/>
      </left>
      <right style="medium">
        <color indexed="55"/>
      </right>
      <top style="medium">
        <color indexed="23"/>
      </top>
      <bottom/>
      <diagonal/>
    </border>
    <border>
      <left/>
      <right style="medium">
        <color indexed="55"/>
      </right>
      <top/>
      <bottom/>
      <diagonal/>
    </border>
    <border>
      <left style="medium">
        <color indexed="23"/>
      </left>
      <right/>
      <top style="hair">
        <color indexed="8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55"/>
      </left>
      <right style="medium">
        <color indexed="55"/>
      </right>
      <top style="medium">
        <color indexed="23"/>
      </top>
      <bottom style="thin">
        <color indexed="55"/>
      </bottom>
      <diagonal/>
    </border>
    <border>
      <left/>
      <right style="medium">
        <color indexed="55"/>
      </right>
      <top/>
      <bottom style="thin">
        <color indexed="55"/>
      </bottom>
      <diagonal/>
    </border>
    <border>
      <left style="medium">
        <color indexed="23"/>
      </left>
      <right style="hair">
        <color indexed="8"/>
      </right>
      <top/>
      <bottom style="medium">
        <color indexed="23"/>
      </bottom>
      <diagonal/>
    </border>
    <border>
      <left style="hair">
        <color indexed="8"/>
      </left>
      <right style="hair">
        <color indexed="8"/>
      </right>
      <top/>
      <bottom style="medium">
        <color indexed="23"/>
      </bottom>
      <diagonal/>
    </border>
    <border>
      <left style="hair">
        <color indexed="8"/>
      </left>
      <right style="medium">
        <color indexed="55"/>
      </right>
      <top/>
      <bottom style="medium">
        <color indexed="23"/>
      </bottom>
      <diagonal/>
    </border>
    <border>
      <left/>
      <right style="medium">
        <color indexed="55"/>
      </right>
      <top style="thin">
        <color indexed="55"/>
      </top>
      <bottom/>
      <diagonal/>
    </border>
    <border>
      <left style="medium">
        <color indexed="23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hair">
        <color indexed="8"/>
      </right>
      <top style="thin">
        <color indexed="55"/>
      </top>
      <bottom style="medium">
        <color indexed="23"/>
      </bottom>
      <diagonal/>
    </border>
    <border>
      <left style="hair">
        <color indexed="8"/>
      </left>
      <right style="hair">
        <color indexed="8"/>
      </right>
      <top style="thin">
        <color indexed="55"/>
      </top>
      <bottom style="medium">
        <color indexed="23"/>
      </bottom>
      <diagonal/>
    </border>
    <border>
      <left style="hair">
        <color indexed="8"/>
      </left>
      <right style="medium">
        <color indexed="55"/>
      </right>
      <top style="thin">
        <color indexed="55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thin">
        <color indexed="55"/>
      </bottom>
      <diagonal/>
    </border>
    <border>
      <left/>
      <right style="medium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23"/>
      </bottom>
      <diagonal/>
    </border>
    <border>
      <left style="medium">
        <color indexed="55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9" fillId="0" borderId="0"/>
    <xf numFmtId="0" fontId="19" fillId="0" borderId="0"/>
    <xf numFmtId="0" fontId="2" fillId="0" borderId="0"/>
    <xf numFmtId="0" fontId="1" fillId="0" borderId="0"/>
  </cellStyleXfs>
  <cellXfs count="18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0" xfId="0" applyFont="1" applyFill="1" applyAlignment="1">
      <alignment wrapText="1"/>
    </xf>
    <xf numFmtId="0" fontId="6" fillId="2" borderId="0" xfId="0" applyFont="1" applyFill="1"/>
    <xf numFmtId="4" fontId="6" fillId="0" borderId="0" xfId="0" applyNumberFormat="1" applyFont="1"/>
    <xf numFmtId="4" fontId="4" fillId="0" borderId="0" xfId="0" applyNumberFormat="1" applyFont="1"/>
    <xf numFmtId="4" fontId="6" fillId="2" borderId="0" xfId="0" applyNumberFormat="1" applyFont="1" applyFill="1"/>
    <xf numFmtId="3" fontId="4" fillId="0" borderId="0" xfId="0" applyNumberFormat="1" applyFont="1"/>
    <xf numFmtId="3" fontId="6" fillId="2" borderId="0" xfId="0" applyNumberFormat="1" applyFont="1" applyFill="1" applyAlignment="1">
      <alignment horizontal="center" wrapText="1"/>
    </xf>
    <xf numFmtId="3" fontId="6" fillId="3" borderId="0" xfId="0" applyNumberFormat="1" applyFont="1" applyFill="1" applyAlignment="1">
      <alignment horizontal="center" wrapText="1"/>
    </xf>
    <xf numFmtId="3" fontId="6" fillId="4" borderId="0" xfId="0" applyNumberFormat="1" applyFont="1" applyFill="1" applyAlignment="1">
      <alignment horizontal="center" wrapText="1"/>
    </xf>
    <xf numFmtId="3" fontId="6" fillId="5" borderId="0" xfId="0" applyNumberFormat="1" applyFont="1" applyFill="1" applyAlignment="1">
      <alignment horizontal="center" wrapText="1"/>
    </xf>
    <xf numFmtId="164" fontId="4" fillId="0" borderId="0" xfId="0" applyNumberFormat="1" applyFont="1"/>
    <xf numFmtId="164" fontId="6" fillId="2" borderId="0" xfId="0" applyNumberFormat="1" applyFont="1" applyFill="1" applyAlignment="1">
      <alignment horizontal="center" wrapText="1"/>
    </xf>
    <xf numFmtId="164" fontId="6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4" fontId="6" fillId="7" borderId="3" xfId="0" applyNumberFormat="1" applyFont="1" applyFill="1" applyBorder="1"/>
    <xf numFmtId="3" fontId="6" fillId="7" borderId="3" xfId="0" applyNumberFormat="1" applyFont="1" applyFill="1" applyBorder="1"/>
    <xf numFmtId="4" fontId="4" fillId="0" borderId="4" xfId="0" applyNumberFormat="1" applyFont="1" applyBorder="1"/>
    <xf numFmtId="3" fontId="4" fillId="0" borderId="4" xfId="0" applyNumberFormat="1" applyFont="1" applyBorder="1"/>
    <xf numFmtId="3" fontId="6" fillId="7" borderId="4" xfId="0" applyNumberFormat="1" applyFont="1" applyFill="1" applyBorder="1"/>
    <xf numFmtId="4" fontId="6" fillId="7" borderId="4" xfId="0" applyNumberFormat="1" applyFont="1" applyFill="1" applyBorder="1"/>
    <xf numFmtId="4" fontId="4" fillId="0" borderId="5" xfId="0" applyNumberFormat="1" applyFont="1" applyBorder="1"/>
    <xf numFmtId="2" fontId="10" fillId="0" borderId="0" xfId="0" applyNumberFormat="1" applyFont="1"/>
    <xf numFmtId="4" fontId="4" fillId="0" borderId="3" xfId="0" applyNumberFormat="1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4" fontId="4" fillId="0" borderId="6" xfId="0" applyNumberFormat="1" applyFont="1" applyBorder="1"/>
    <xf numFmtId="3" fontId="4" fillId="0" borderId="7" xfId="0" applyNumberFormat="1" applyFont="1" applyBorder="1"/>
    <xf numFmtId="2" fontId="4" fillId="0" borderId="4" xfId="0" applyNumberFormat="1" applyFont="1" applyBorder="1"/>
    <xf numFmtId="0" fontId="11" fillId="0" borderId="0" xfId="0" applyFont="1"/>
    <xf numFmtId="0" fontId="12" fillId="0" borderId="0" xfId="0" applyFont="1"/>
    <xf numFmtId="0" fontId="12" fillId="8" borderId="8" xfId="0" applyFont="1" applyFill="1" applyBorder="1"/>
    <xf numFmtId="0" fontId="12" fillId="8" borderId="0" xfId="0" applyFont="1" applyFill="1"/>
    <xf numFmtId="0" fontId="14" fillId="8" borderId="0" xfId="0" applyFont="1" applyFill="1" applyAlignment="1">
      <alignment horizontal="right"/>
    </xf>
    <xf numFmtId="0" fontId="12" fillId="8" borderId="7" xfId="0" applyFont="1" applyFill="1" applyBorder="1"/>
    <xf numFmtId="0" fontId="15" fillId="8" borderId="0" xfId="0" applyFont="1" applyFill="1" applyAlignment="1">
      <alignment horizontal="right"/>
    </xf>
    <xf numFmtId="0" fontId="15" fillId="6" borderId="0" xfId="0" applyFont="1" applyFill="1" applyAlignment="1">
      <alignment horizontal="center"/>
    </xf>
    <xf numFmtId="0" fontId="16" fillId="8" borderId="0" xfId="0" applyFont="1" applyFill="1"/>
    <xf numFmtId="0" fontId="12" fillId="8" borderId="9" xfId="0" applyFont="1" applyFill="1" applyBorder="1"/>
    <xf numFmtId="0" fontId="12" fillId="8" borderId="10" xfId="0" applyFont="1" applyFill="1" applyBorder="1"/>
    <xf numFmtId="0" fontId="15" fillId="8" borderId="10" xfId="0" applyFont="1" applyFill="1" applyBorder="1" applyAlignment="1">
      <alignment horizontal="right"/>
    </xf>
    <xf numFmtId="0" fontId="15" fillId="6" borderId="10" xfId="0" applyFont="1" applyFill="1" applyBorder="1" applyAlignment="1">
      <alignment horizontal="center"/>
    </xf>
    <xf numFmtId="0" fontId="16" fillId="8" borderId="10" xfId="0" applyFont="1" applyFill="1" applyBorder="1"/>
    <xf numFmtId="0" fontId="12" fillId="8" borderId="11" xfId="0" applyFont="1" applyFill="1" applyBorder="1"/>
    <xf numFmtId="0" fontId="14" fillId="0" borderId="0" xfId="0" applyFont="1" applyAlignment="1">
      <alignment horizontal="right"/>
    </xf>
    <xf numFmtId="0" fontId="6" fillId="6" borderId="12" xfId="0" applyFont="1" applyFill="1" applyBorder="1" applyAlignment="1">
      <alignment horizontal="center" vertical="center" wrapText="1"/>
    </xf>
    <xf numFmtId="3" fontId="6" fillId="7" borderId="13" xfId="0" applyNumberFormat="1" applyFont="1" applyFill="1" applyBorder="1"/>
    <xf numFmtId="3" fontId="6" fillId="7" borderId="7" xfId="0" applyNumberFormat="1" applyFont="1" applyFill="1" applyBorder="1"/>
    <xf numFmtId="0" fontId="6" fillId="6" borderId="14" xfId="0" applyFont="1" applyFill="1" applyBorder="1" applyAlignment="1">
      <alignment horizontal="center" vertical="center" wrapText="1"/>
    </xf>
    <xf numFmtId="4" fontId="6" fillId="7" borderId="15" xfId="0" applyNumberFormat="1" applyFont="1" applyFill="1" applyBorder="1"/>
    <xf numFmtId="4" fontId="6" fillId="7" borderId="16" xfId="0" applyNumberFormat="1" applyFont="1" applyFill="1" applyBorder="1"/>
    <xf numFmtId="4" fontId="4" fillId="0" borderId="17" xfId="0" applyNumberFormat="1" applyFont="1" applyBorder="1"/>
    <xf numFmtId="4" fontId="4" fillId="0" borderId="7" xfId="0" applyNumberFormat="1" applyFont="1" applyBorder="1"/>
    <xf numFmtId="0" fontId="6" fillId="6" borderId="14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3" fontId="4" fillId="0" borderId="15" xfId="0" applyNumberFormat="1" applyFont="1" applyBorder="1"/>
    <xf numFmtId="3" fontId="4" fillId="0" borderId="17" xfId="0" applyNumberFormat="1" applyFont="1" applyBorder="1"/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4" fontId="4" fillId="0" borderId="20" xfId="0" applyNumberFormat="1" applyFont="1" applyBorder="1"/>
    <xf numFmtId="4" fontId="6" fillId="7" borderId="21" xfId="0" applyNumberFormat="1" applyFont="1" applyFill="1" applyBorder="1"/>
    <xf numFmtId="4" fontId="6" fillId="7" borderId="22" xfId="0" applyNumberFormat="1" applyFont="1" applyFill="1" applyBorder="1"/>
    <xf numFmtId="3" fontId="6" fillId="7" borderId="23" xfId="0" applyNumberFormat="1" applyFont="1" applyFill="1" applyBorder="1"/>
    <xf numFmtId="4" fontId="6" fillId="7" borderId="24" xfId="0" applyNumberFormat="1" applyFont="1" applyFill="1" applyBorder="1"/>
    <xf numFmtId="3" fontId="6" fillId="7" borderId="24" xfId="0" applyNumberFormat="1" applyFont="1" applyFill="1" applyBorder="1"/>
    <xf numFmtId="4" fontId="4" fillId="0" borderId="25" xfId="0" applyNumberFormat="1" applyFont="1" applyBorder="1"/>
    <xf numFmtId="3" fontId="6" fillId="7" borderId="26" xfId="0" applyNumberFormat="1" applyFont="1" applyFill="1" applyBorder="1"/>
    <xf numFmtId="4" fontId="6" fillId="7" borderId="27" xfId="0" applyNumberFormat="1" applyFont="1" applyFill="1" applyBorder="1"/>
    <xf numFmtId="4" fontId="6" fillId="7" borderId="28" xfId="0" applyNumberFormat="1" applyFont="1" applyFill="1" applyBorder="1"/>
    <xf numFmtId="0" fontId="6" fillId="6" borderId="29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4" fontId="4" fillId="0" borderId="31" xfId="0" applyNumberFormat="1" applyFont="1" applyBorder="1"/>
    <xf numFmtId="4" fontId="6" fillId="7" borderId="23" xfId="0" applyNumberFormat="1" applyFont="1" applyFill="1" applyBorder="1"/>
    <xf numFmtId="4" fontId="6" fillId="7" borderId="32" xfId="0" applyNumberFormat="1" applyFont="1" applyFill="1" applyBorder="1"/>
    <xf numFmtId="2" fontId="4" fillId="0" borderId="31" xfId="0" applyNumberFormat="1" applyFont="1" applyBorder="1"/>
    <xf numFmtId="2" fontId="6" fillId="7" borderId="24" xfId="0" applyNumberFormat="1" applyFont="1" applyFill="1" applyBorder="1"/>
    <xf numFmtId="2" fontId="6" fillId="7" borderId="32" xfId="0" applyNumberFormat="1" applyFont="1" applyFill="1" applyBorder="1"/>
    <xf numFmtId="4" fontId="4" fillId="0" borderId="21" xfId="0" applyNumberFormat="1" applyFont="1" applyBorder="1"/>
    <xf numFmtId="4" fontId="4" fillId="0" borderId="22" xfId="0" applyNumberFormat="1" applyFont="1" applyBorder="1"/>
    <xf numFmtId="4" fontId="4" fillId="0" borderId="33" xfId="0" applyNumberFormat="1" applyFont="1" applyBorder="1"/>
    <xf numFmtId="3" fontId="4" fillId="0" borderId="34" xfId="0" applyNumberFormat="1" applyFont="1" applyBorder="1"/>
    <xf numFmtId="4" fontId="6" fillId="7" borderId="31" xfId="0" applyNumberFormat="1" applyFont="1" applyFill="1" applyBorder="1"/>
    <xf numFmtId="0" fontId="4" fillId="0" borderId="35" xfId="0" applyFont="1" applyBorder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4" fillId="9" borderId="34" xfId="0" applyNumberFormat="1" applyFont="1" applyFill="1" applyBorder="1"/>
    <xf numFmtId="4" fontId="4" fillId="9" borderId="36" xfId="0" applyNumberFormat="1" applyFont="1" applyFill="1" applyBorder="1"/>
    <xf numFmtId="3" fontId="4" fillId="9" borderId="11" xfId="0" applyNumberFormat="1" applyFont="1" applyFill="1" applyBorder="1"/>
    <xf numFmtId="4" fontId="4" fillId="9" borderId="5" xfId="0" applyNumberFormat="1" applyFont="1" applyFill="1" applyBorder="1"/>
    <xf numFmtId="3" fontId="4" fillId="9" borderId="5" xfId="0" applyNumberFormat="1" applyFont="1" applyFill="1" applyBorder="1"/>
    <xf numFmtId="4" fontId="4" fillId="9" borderId="31" xfId="0" applyNumberFormat="1" applyFont="1" applyFill="1" applyBorder="1"/>
    <xf numFmtId="0" fontId="4" fillId="0" borderId="37" xfId="0" applyFont="1" applyBorder="1"/>
    <xf numFmtId="0" fontId="4" fillId="0" borderId="38" xfId="0" applyFont="1" applyBorder="1"/>
    <xf numFmtId="4" fontId="17" fillId="0" borderId="0" xfId="0" applyNumberFormat="1" applyFont="1"/>
    <xf numFmtId="0" fontId="17" fillId="0" borderId="0" xfId="0" applyFont="1"/>
    <xf numFmtId="2" fontId="18" fillId="0" borderId="0" xfId="0" applyNumberFormat="1" applyFont="1"/>
    <xf numFmtId="0" fontId="4" fillId="0" borderId="39" xfId="0" applyFont="1" applyBorder="1"/>
    <xf numFmtId="14" fontId="4" fillId="10" borderId="0" xfId="0" applyNumberFormat="1" applyFont="1" applyFill="1"/>
    <xf numFmtId="49" fontId="19" fillId="0" borderId="0" xfId="1" applyNumberFormat="1"/>
    <xf numFmtId="14" fontId="19" fillId="0" borderId="0" xfId="1" applyNumberFormat="1"/>
    <xf numFmtId="4" fontId="19" fillId="0" borderId="0" xfId="1" applyNumberFormat="1"/>
    <xf numFmtId="164" fontId="20" fillId="0" borderId="0" xfId="0" applyNumberFormat="1" applyFont="1"/>
    <xf numFmtId="2" fontId="21" fillId="0" borderId="0" xfId="0" applyNumberFormat="1" applyFont="1"/>
    <xf numFmtId="0" fontId="19" fillId="0" borderId="0" xfId="1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4" fontId="0" fillId="0" borderId="0" xfId="0" applyNumberFormat="1"/>
    <xf numFmtId="3" fontId="0" fillId="0" borderId="0" xfId="0" applyNumberFormat="1"/>
    <xf numFmtId="0" fontId="0" fillId="0" borderId="39" xfId="0" applyBorder="1"/>
    <xf numFmtId="2" fontId="10" fillId="0" borderId="10" xfId="0" applyNumberFormat="1" applyFont="1" applyBorder="1" applyAlignment="1">
      <alignment horizontal="center"/>
    </xf>
    <xf numFmtId="0" fontId="13" fillId="11" borderId="40" xfId="0" applyFont="1" applyFill="1" applyBorder="1" applyAlignment="1">
      <alignment horizontal="center"/>
    </xf>
    <xf numFmtId="0" fontId="13" fillId="11" borderId="41" xfId="0" applyFont="1" applyFill="1" applyBorder="1" applyAlignment="1">
      <alignment horizontal="center"/>
    </xf>
    <xf numFmtId="0" fontId="13" fillId="11" borderId="13" xfId="0" applyFont="1" applyFill="1" applyBorder="1" applyAlignment="1">
      <alignment horizontal="center"/>
    </xf>
    <xf numFmtId="0" fontId="14" fillId="6" borderId="0" xfId="0" applyFont="1" applyFill="1"/>
    <xf numFmtId="0" fontId="6" fillId="6" borderId="42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/>
    </xf>
    <xf numFmtId="0" fontId="6" fillId="6" borderId="47" xfId="0" applyFont="1" applyFill="1" applyBorder="1" applyAlignment="1">
      <alignment horizontal="center"/>
    </xf>
    <xf numFmtId="0" fontId="6" fillId="6" borderId="29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30" xfId="0" applyFont="1" applyFill="1" applyBorder="1" applyAlignment="1">
      <alignment horizontal="center"/>
    </xf>
    <xf numFmtId="0" fontId="6" fillId="6" borderId="34" xfId="0" applyFont="1" applyFill="1" applyBorder="1" applyAlignment="1">
      <alignment horizontal="center"/>
    </xf>
    <xf numFmtId="0" fontId="6" fillId="6" borderId="36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48" xfId="0" applyNumberFormat="1" applyFont="1" applyBorder="1" applyAlignment="1">
      <alignment horizontal="left"/>
    </xf>
    <xf numFmtId="0" fontId="6" fillId="7" borderId="35" xfId="0" applyFont="1" applyFill="1" applyBorder="1"/>
    <xf numFmtId="0" fontId="6" fillId="7" borderId="0" xfId="0" applyFont="1" applyFill="1"/>
    <xf numFmtId="0" fontId="4" fillId="0" borderId="10" xfId="0" applyFont="1" applyBorder="1"/>
    <xf numFmtId="0" fontId="6" fillId="7" borderId="49" xfId="0" applyFont="1" applyFill="1" applyBorder="1" applyAlignment="1">
      <alignment horizontal="right"/>
    </xf>
    <xf numFmtId="0" fontId="6" fillId="7" borderId="50" xfId="0" applyFont="1" applyFill="1" applyBorder="1" applyAlignment="1">
      <alignment horizontal="right"/>
    </xf>
    <xf numFmtId="0" fontId="6" fillId="6" borderId="5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48" xfId="0" applyFont="1" applyBorder="1"/>
    <xf numFmtId="0" fontId="6" fillId="6" borderId="29" xfId="0" applyFont="1" applyFill="1" applyBorder="1" applyAlignment="1">
      <alignment horizontal="center" wrapText="1"/>
    </xf>
    <xf numFmtId="0" fontId="6" fillId="6" borderId="18" xfId="0" applyFont="1" applyFill="1" applyBorder="1" applyAlignment="1">
      <alignment horizontal="center" wrapText="1"/>
    </xf>
    <xf numFmtId="0" fontId="6" fillId="6" borderId="30" xfId="0" applyFont="1" applyFill="1" applyBorder="1" applyAlignment="1">
      <alignment horizontal="center" wrapText="1"/>
    </xf>
    <xf numFmtId="0" fontId="4" fillId="0" borderId="52" xfId="0" applyFont="1" applyBorder="1"/>
    <xf numFmtId="0" fontId="6" fillId="12" borderId="53" xfId="0" applyFont="1" applyFill="1" applyBorder="1" applyAlignment="1">
      <alignment horizontal="right"/>
    </xf>
    <xf numFmtId="0" fontId="6" fillId="12" borderId="54" xfId="0" applyFont="1" applyFill="1" applyBorder="1" applyAlignment="1">
      <alignment horizontal="right"/>
    </xf>
    <xf numFmtId="0" fontId="6" fillId="12" borderId="55" xfId="0" applyFont="1" applyFill="1" applyBorder="1" applyAlignment="1">
      <alignment horizontal="right"/>
    </xf>
    <xf numFmtId="0" fontId="6" fillId="12" borderId="57" xfId="0" applyFont="1" applyFill="1" applyBorder="1" applyAlignment="1">
      <alignment horizontal="right"/>
    </xf>
    <xf numFmtId="0" fontId="6" fillId="12" borderId="24" xfId="0" applyFont="1" applyFill="1" applyBorder="1" applyAlignment="1">
      <alignment horizontal="right"/>
    </xf>
    <xf numFmtId="0" fontId="6" fillId="12" borderId="22" xfId="0" applyFont="1" applyFill="1" applyBorder="1" applyAlignment="1">
      <alignment horizontal="right"/>
    </xf>
    <xf numFmtId="0" fontId="4" fillId="0" borderId="41" xfId="0" applyFont="1" applyBorder="1"/>
    <xf numFmtId="0" fontId="4" fillId="0" borderId="56" xfId="0" applyFont="1" applyBorder="1"/>
    <xf numFmtId="0" fontId="4" fillId="9" borderId="58" xfId="0" applyFont="1" applyFill="1" applyBorder="1" applyAlignment="1">
      <alignment horizontal="left" vertical="top" wrapText="1"/>
    </xf>
    <xf numFmtId="0" fontId="4" fillId="9" borderId="59" xfId="0" applyFont="1" applyFill="1" applyBorder="1" applyAlignment="1">
      <alignment horizontal="left" vertical="top" wrapText="1"/>
    </xf>
    <xf numFmtId="0" fontId="6" fillId="12" borderId="60" xfId="0" applyFont="1" applyFill="1" applyBorder="1" applyAlignment="1">
      <alignment horizontal="right"/>
    </xf>
    <xf numFmtId="0" fontId="6" fillId="12" borderId="61" xfId="0" applyFont="1" applyFill="1" applyBorder="1" applyAlignment="1">
      <alignment horizontal="right"/>
    </xf>
    <xf numFmtId="0" fontId="6" fillId="12" borderId="62" xfId="0" applyFont="1" applyFill="1" applyBorder="1" applyAlignment="1">
      <alignment horizontal="right"/>
    </xf>
    <xf numFmtId="0" fontId="6" fillId="6" borderId="42" xfId="0" applyFont="1" applyFill="1" applyBorder="1" applyAlignment="1">
      <alignment horizontal="center" wrapText="1"/>
    </xf>
    <xf numFmtId="0" fontId="4" fillId="0" borderId="18" xfId="0" applyFont="1" applyBorder="1"/>
    <xf numFmtId="0" fontId="4" fillId="0" borderId="43" xfId="0" applyFont="1" applyBorder="1"/>
    <xf numFmtId="0" fontId="4" fillId="0" borderId="44" xfId="0" applyFont="1" applyBorder="1"/>
    <xf numFmtId="0" fontId="4" fillId="0" borderId="1" xfId="0" applyFont="1" applyBorder="1"/>
    <xf numFmtId="0" fontId="4" fillId="0" borderId="45" xfId="0" applyFont="1" applyBorder="1"/>
    <xf numFmtId="0" fontId="6" fillId="6" borderId="63" xfId="0" applyFont="1" applyFill="1" applyBorder="1" applyAlignment="1">
      <alignment horizontal="center" wrapText="1"/>
    </xf>
    <xf numFmtId="0" fontId="4" fillId="0" borderId="64" xfId="0" applyFont="1" applyBorder="1"/>
    <xf numFmtId="0" fontId="4" fillId="0" borderId="57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6" fillId="6" borderId="66" xfId="0" applyFont="1" applyFill="1" applyBorder="1" applyAlignment="1">
      <alignment horizontal="center" wrapText="1"/>
    </xf>
    <xf numFmtId="0" fontId="6" fillId="6" borderId="51" xfId="0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center"/>
    </xf>
    <xf numFmtId="49" fontId="1" fillId="0" borderId="0" xfId="4" applyNumberFormat="1"/>
    <xf numFmtId="14" fontId="1" fillId="0" borderId="0" xfId="4" applyNumberFormat="1"/>
    <xf numFmtId="4" fontId="1" fillId="0" borderId="0" xfId="4" applyNumberFormat="1"/>
    <xf numFmtId="14" fontId="1" fillId="0" borderId="0" xfId="4" applyNumberFormat="1" applyAlignment="1">
      <alignment horizontal="right"/>
    </xf>
    <xf numFmtId="4" fontId="1" fillId="0" borderId="67" xfId="4" applyNumberFormat="1" applyBorder="1"/>
    <xf numFmtId="0" fontId="4" fillId="0" borderId="67" xfId="0" applyFont="1" applyBorder="1"/>
    <xf numFmtId="4" fontId="4" fillId="0" borderId="67" xfId="0" applyNumberFormat="1" applyFont="1" applyBorder="1"/>
  </cellXfs>
  <cellStyles count="5">
    <cellStyle name="Normal 2" xfId="1" xr:uid="{00000000-0005-0000-0000-000000000000}"/>
    <cellStyle name="Normala" xfId="0" builtinId="0"/>
    <cellStyle name="Normala 2" xfId="2" xr:uid="{00000000-0005-0000-0000-000002000000}"/>
    <cellStyle name="Normala 3" xfId="3" xr:uid="{C4531148-AF28-4F54-BF82-8E0ED3851AB4}"/>
    <cellStyle name="Normala 4" xfId="4" xr:uid="{4290611D-8064-44BC-A646-06D06D6E7919}"/>
  </cellStyles>
  <dxfs count="25"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Contabilidad/Contabilidad/BERANKORTASUNA/2022/OARSOALDEA/2go%20HIRUHILEKOA/BERANKORTASUNA%203go%20HIRUHILEKOA%20OARS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EXCEL\Contabilidad\Contabilidad\BERANKORTASUNA\2022\OARSOALDEA\4go%20HIRUHILEKOA\BERANKORTASUNA%204go%20HIRUHILEKOA.xlsx" TargetMode="External"/><Relationship Id="rId1" Type="http://schemas.openxmlformats.org/officeDocument/2006/relationships/externalLinkPath" Target="BERANKORTASUNA%204go%20HIRUHILEKO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OSTENA"/>
      <sheetName val="xehet1"/>
      <sheetName val="xehet2"/>
      <sheetName val="xehet32"/>
    </sheetNames>
    <sheetDataSet>
      <sheetData sheetId="0" refreshError="1"/>
      <sheetData sheetId="1" refreshError="1"/>
      <sheetData sheetId="2" refreshError="1">
        <row r="8">
          <cell r="D8" t="str">
            <v>Zenbatekoa</v>
          </cell>
          <cell r="T8" t="str">
            <v>ponderazioa 1</v>
          </cell>
          <cell r="V8" t="str">
            <v>Epean</v>
          </cell>
        </row>
        <row r="9">
          <cell r="D9">
            <v>18150</v>
          </cell>
          <cell r="T9">
            <v>0</v>
          </cell>
          <cell r="V9">
            <v>129</v>
          </cell>
        </row>
        <row r="10">
          <cell r="D10">
            <v>677.6</v>
          </cell>
          <cell r="T10">
            <v>0</v>
          </cell>
          <cell r="V10">
            <v>121</v>
          </cell>
        </row>
        <row r="11">
          <cell r="D11">
            <v>5</v>
          </cell>
          <cell r="T11">
            <v>0</v>
          </cell>
          <cell r="V11">
            <v>121</v>
          </cell>
        </row>
        <row r="12">
          <cell r="D12">
            <v>214.9</v>
          </cell>
          <cell r="T12">
            <v>0</v>
          </cell>
          <cell r="V12">
            <v>121</v>
          </cell>
        </row>
        <row r="13">
          <cell r="D13">
            <v>290.39999999999998</v>
          </cell>
          <cell r="T13">
            <v>0</v>
          </cell>
          <cell r="V13">
            <v>121</v>
          </cell>
        </row>
        <row r="14">
          <cell r="D14">
            <v>507.23</v>
          </cell>
          <cell r="T14">
            <v>0</v>
          </cell>
          <cell r="V14">
            <v>129</v>
          </cell>
        </row>
        <row r="15">
          <cell r="D15">
            <v>98.02</v>
          </cell>
          <cell r="T15">
            <v>0</v>
          </cell>
          <cell r="V15">
            <v>121</v>
          </cell>
        </row>
        <row r="16">
          <cell r="D16">
            <v>6</v>
          </cell>
          <cell r="T16">
            <v>0</v>
          </cell>
          <cell r="V16">
            <v>121</v>
          </cell>
        </row>
        <row r="17">
          <cell r="D17">
            <v>18.07</v>
          </cell>
          <cell r="T17">
            <v>0</v>
          </cell>
          <cell r="V17">
            <v>129</v>
          </cell>
        </row>
        <row r="18">
          <cell r="D18">
            <v>337.03</v>
          </cell>
          <cell r="T18">
            <v>0</v>
          </cell>
          <cell r="V18">
            <v>129</v>
          </cell>
        </row>
        <row r="19">
          <cell r="D19">
            <v>316.45999999999998</v>
          </cell>
          <cell r="T19">
            <v>0</v>
          </cell>
          <cell r="V19">
            <v>129</v>
          </cell>
        </row>
        <row r="20">
          <cell r="D20">
            <v>490.85</v>
          </cell>
          <cell r="T20">
            <v>0</v>
          </cell>
          <cell r="V20">
            <v>129</v>
          </cell>
        </row>
        <row r="21">
          <cell r="D21">
            <v>25.81</v>
          </cell>
          <cell r="T21">
            <v>0</v>
          </cell>
          <cell r="V21">
            <v>129</v>
          </cell>
        </row>
        <row r="22">
          <cell r="D22">
            <v>32.56</v>
          </cell>
          <cell r="T22">
            <v>0</v>
          </cell>
          <cell r="V22">
            <v>129</v>
          </cell>
        </row>
        <row r="23">
          <cell r="D23">
            <v>709.04</v>
          </cell>
          <cell r="T23">
            <v>0</v>
          </cell>
          <cell r="V23">
            <v>129</v>
          </cell>
        </row>
        <row r="24">
          <cell r="D24">
            <v>17.93</v>
          </cell>
          <cell r="T24">
            <v>0</v>
          </cell>
          <cell r="V24">
            <v>129</v>
          </cell>
        </row>
        <row r="25">
          <cell r="D25">
            <v>16.2</v>
          </cell>
          <cell r="T25">
            <v>0</v>
          </cell>
          <cell r="V25">
            <v>129</v>
          </cell>
        </row>
        <row r="26">
          <cell r="D26">
            <v>18.13</v>
          </cell>
          <cell r="T26">
            <v>0</v>
          </cell>
          <cell r="V26">
            <v>129</v>
          </cell>
        </row>
        <row r="27">
          <cell r="D27">
            <v>32.799999999999997</v>
          </cell>
          <cell r="T27">
            <v>0</v>
          </cell>
          <cell r="V27">
            <v>129</v>
          </cell>
        </row>
        <row r="28">
          <cell r="D28">
            <v>234.86</v>
          </cell>
          <cell r="T28">
            <v>0</v>
          </cell>
          <cell r="V28">
            <v>129</v>
          </cell>
        </row>
        <row r="29">
          <cell r="D29">
            <v>10.8</v>
          </cell>
          <cell r="T29">
            <v>0</v>
          </cell>
          <cell r="V29">
            <v>129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XOSTENA"/>
      <sheetName val="xehet1"/>
      <sheetName val="xehet2"/>
      <sheetName val="xehet32"/>
    </sheetNames>
    <sheetDataSet>
      <sheetData sheetId="0" refreshError="1"/>
      <sheetData sheetId="1">
        <row r="288">
          <cell r="C288">
            <v>22</v>
          </cell>
          <cell r="D288">
            <v>16299.88</v>
          </cell>
        </row>
        <row r="289">
          <cell r="C289">
            <v>35</v>
          </cell>
          <cell r="D289">
            <v>17532.400000000005</v>
          </cell>
        </row>
        <row r="290">
          <cell r="C290">
            <v>44</v>
          </cell>
          <cell r="D290">
            <v>10653.819999999998</v>
          </cell>
        </row>
        <row r="291">
          <cell r="C291">
            <v>141</v>
          </cell>
          <cell r="D291">
            <v>138506.46000000005</v>
          </cell>
        </row>
        <row r="292">
          <cell r="C292">
            <v>37</v>
          </cell>
          <cell r="D292">
            <v>83949.239999999991</v>
          </cell>
        </row>
      </sheetData>
      <sheetData sheetId="2">
        <row r="68">
          <cell r="C68">
            <v>7</v>
          </cell>
          <cell r="D68">
            <v>5110.57</v>
          </cell>
        </row>
        <row r="69">
          <cell r="C69">
            <v>9</v>
          </cell>
          <cell r="D69">
            <v>1564.17</v>
          </cell>
        </row>
        <row r="70">
          <cell r="C70">
            <v>36</v>
          </cell>
          <cell r="D70">
            <v>17667.399999999994</v>
          </cell>
        </row>
        <row r="71">
          <cell r="C71">
            <v>3</v>
          </cell>
          <cell r="D71">
            <v>1939.8000000000002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Orria1"/>
  <dimension ref="A1:I93"/>
  <sheetViews>
    <sheetView tabSelected="1" topLeftCell="A26" zoomScaleNormal="100" workbookViewId="0">
      <selection activeCell="F55" sqref="F55:G55"/>
    </sheetView>
  </sheetViews>
  <sheetFormatPr defaultRowHeight="12.75" customHeight="1" x14ac:dyDescent="0.2"/>
  <cols>
    <col min="1" max="1" width="3.140625" style="2" customWidth="1"/>
    <col min="2" max="2" width="4.42578125" style="2" bestFit="1" customWidth="1"/>
    <col min="3" max="3" width="34" style="2" bestFit="1" customWidth="1"/>
    <col min="4" max="9" width="13.7109375" style="2" customWidth="1"/>
    <col min="10" max="16384" width="9.140625" style="2"/>
  </cols>
  <sheetData>
    <row r="1" spans="1:9" ht="12.75" customHeight="1" x14ac:dyDescent="0.2">
      <c r="A1" s="119">
        <f>SUMSQ(D27:I27,D39:F40,D59:I59,D72:F72,D82:F83,E91:H91)</f>
        <v>82.152067386776679</v>
      </c>
      <c r="B1" s="119"/>
    </row>
    <row r="2" spans="1:9" s="39" customFormat="1" ht="15.75" customHeight="1" x14ac:dyDescent="0.25">
      <c r="A2" s="120" t="s">
        <v>11</v>
      </c>
      <c r="B2" s="121"/>
      <c r="C2" s="121"/>
      <c r="D2" s="121"/>
      <c r="E2" s="121"/>
      <c r="F2" s="121"/>
      <c r="G2" s="121"/>
      <c r="H2" s="121"/>
      <c r="I2" s="122"/>
    </row>
    <row r="3" spans="1:9" s="39" customFormat="1" ht="15.75" customHeight="1" x14ac:dyDescent="0.25">
      <c r="A3" s="40"/>
      <c r="B3" s="41"/>
      <c r="C3" s="42" t="s">
        <v>12</v>
      </c>
      <c r="D3" s="123" t="s">
        <v>91</v>
      </c>
      <c r="E3" s="123"/>
      <c r="F3" s="123"/>
      <c r="G3" s="123"/>
      <c r="H3" s="41"/>
      <c r="I3" s="43"/>
    </row>
    <row r="4" spans="1:9" s="39" customFormat="1" ht="15.75" customHeight="1" x14ac:dyDescent="0.25">
      <c r="A4" s="40"/>
      <c r="B4" s="41"/>
      <c r="C4" s="44" t="s">
        <v>13</v>
      </c>
      <c r="D4" s="45">
        <v>2022</v>
      </c>
      <c r="E4" s="46"/>
      <c r="F4" s="41"/>
      <c r="G4" s="41"/>
      <c r="H4" s="41"/>
      <c r="I4" s="43"/>
    </row>
    <row r="5" spans="1:9" s="39" customFormat="1" ht="15.75" customHeight="1" x14ac:dyDescent="0.25">
      <c r="A5" s="47"/>
      <c r="B5" s="48"/>
      <c r="C5" s="49" t="s">
        <v>14</v>
      </c>
      <c r="D5" s="50">
        <v>4</v>
      </c>
      <c r="E5" s="51"/>
      <c r="F5" s="48"/>
      <c r="G5" s="48"/>
      <c r="H5" s="48"/>
      <c r="I5" s="52"/>
    </row>
    <row r="6" spans="1:9" ht="12.75" customHeight="1" x14ac:dyDescent="0.2">
      <c r="C6" s="20"/>
      <c r="D6" s="21"/>
      <c r="E6" s="21"/>
    </row>
    <row r="7" spans="1:9" ht="12.75" customHeight="1" x14ac:dyDescent="0.2">
      <c r="C7" s="20"/>
      <c r="D7" s="21"/>
      <c r="E7" s="21"/>
    </row>
    <row r="9" spans="1:9" s="39" customFormat="1" ht="15.75" x14ac:dyDescent="0.25">
      <c r="A9" s="38" t="s">
        <v>67</v>
      </c>
    </row>
    <row r="10" spans="1:9" ht="12.75" customHeight="1" x14ac:dyDescent="0.2">
      <c r="A10" s="4"/>
    </row>
    <row r="11" spans="1:9" ht="12.75" customHeight="1" x14ac:dyDescent="0.2">
      <c r="A11" s="4"/>
    </row>
    <row r="12" spans="1:9" s="19" customFormat="1" ht="13.5" thickBot="1" x14ac:dyDescent="0.25">
      <c r="A12" s="1" t="s">
        <v>15</v>
      </c>
    </row>
    <row r="13" spans="1:9" ht="12.75" customHeight="1" x14ac:dyDescent="0.2">
      <c r="A13" s="124" t="s">
        <v>17</v>
      </c>
      <c r="B13" s="125"/>
      <c r="C13" s="126"/>
      <c r="D13" s="130" t="s">
        <v>18</v>
      </c>
      <c r="E13" s="131"/>
      <c r="F13" s="132" t="s">
        <v>23</v>
      </c>
      <c r="G13" s="133"/>
      <c r="H13" s="133"/>
      <c r="I13" s="134"/>
    </row>
    <row r="14" spans="1:9" ht="12.75" customHeight="1" x14ac:dyDescent="0.2">
      <c r="A14" s="127"/>
      <c r="B14" s="128"/>
      <c r="C14" s="129"/>
      <c r="D14" s="135" t="s">
        <v>19</v>
      </c>
      <c r="E14" s="136"/>
      <c r="F14" s="137" t="s">
        <v>21</v>
      </c>
      <c r="G14" s="138"/>
      <c r="H14" s="138" t="s">
        <v>22</v>
      </c>
      <c r="I14" s="139"/>
    </row>
    <row r="15" spans="1:9" ht="22.5" x14ac:dyDescent="0.2">
      <c r="A15" s="127"/>
      <c r="B15" s="128"/>
      <c r="C15" s="129"/>
      <c r="D15" s="57" t="s">
        <v>20</v>
      </c>
      <c r="E15" s="23" t="s">
        <v>60</v>
      </c>
      <c r="F15" s="54" t="s">
        <v>24</v>
      </c>
      <c r="G15" s="22" t="s">
        <v>25</v>
      </c>
      <c r="H15" s="22" t="s">
        <v>24</v>
      </c>
      <c r="I15" s="67" t="s">
        <v>25</v>
      </c>
    </row>
    <row r="16" spans="1:9" ht="12.75" customHeight="1" x14ac:dyDescent="0.2">
      <c r="A16" s="142" t="s">
        <v>35</v>
      </c>
      <c r="B16" s="143"/>
      <c r="C16" s="143"/>
      <c r="D16" s="58">
        <f>IF(G16+I16=0,0,(D17*(G17+I17)+D18*(G18+I18)+D19*(G19+I19)+D20*(G20+I20)+D21*(G21+I21))/(G16+I16))</f>
        <v>0</v>
      </c>
      <c r="E16" s="59">
        <f>IF(I16=0,0,(E17*I17+E18*I18+E19*I19+E20*I20+E21*I21)/I16)</f>
        <v>0</v>
      </c>
      <c r="F16" s="55">
        <f>SUM(F17:F21)</f>
        <v>242</v>
      </c>
      <c r="G16" s="24">
        <f>SUM(G17:G21)</f>
        <v>182992.56000000006</v>
      </c>
      <c r="H16" s="25">
        <f>SUM(H17:H21)</f>
        <v>0</v>
      </c>
      <c r="I16" s="90">
        <f>SUM(I17:I21)</f>
        <v>0</v>
      </c>
    </row>
    <row r="17" spans="1:9" ht="12.75" customHeight="1" x14ac:dyDescent="0.2">
      <c r="A17" s="91"/>
      <c r="B17" s="92" t="s">
        <v>0</v>
      </c>
      <c r="C17" s="2" t="s">
        <v>26</v>
      </c>
      <c r="D17" s="60"/>
      <c r="E17" s="35">
        <f>IF(H17=0,0,SUMIF(detalle1!V:V,220,detalle1!T:T)/SUMIF(detalle1!V:V,220,detalle1!D:D))</f>
        <v>0</v>
      </c>
      <c r="F17" s="36">
        <f>+[2]xehet1!C288</f>
        <v>22</v>
      </c>
      <c r="G17" s="8">
        <f>+[2]xehet1!D288</f>
        <v>16299.88</v>
      </c>
      <c r="H17" s="27">
        <f>COUNTIF(detalle1!V:V,220)</f>
        <v>0</v>
      </c>
      <c r="I17" s="80">
        <f>SUMIF(detalle1!V:V,220,detalle1!D:D)</f>
        <v>0</v>
      </c>
    </row>
    <row r="18" spans="1:9" ht="12.75" customHeight="1" x14ac:dyDescent="0.2">
      <c r="A18" s="91"/>
      <c r="B18" s="92" t="s">
        <v>1</v>
      </c>
      <c r="C18" s="2" t="s">
        <v>27</v>
      </c>
      <c r="D18" s="60"/>
      <c r="E18" s="35">
        <f>IF(H18=0,0,SUMIF(detalle1!V:V,221,detalle1!T:T)/SUMIF(detalle1!V:V,221,detalle1!D:D))</f>
        <v>0</v>
      </c>
      <c r="F18" s="36">
        <f>+[2]xehet1!C289</f>
        <v>35</v>
      </c>
      <c r="G18" s="26">
        <f>+[2]xehet1!D289</f>
        <v>17532.400000000005</v>
      </c>
      <c r="H18" s="27">
        <f>COUNTIF(detalle1!V:V,221)</f>
        <v>0</v>
      </c>
      <c r="I18" s="80">
        <f>SUMIF(detalle1!V:V,221,detalle1!D:D)</f>
        <v>0</v>
      </c>
    </row>
    <row r="19" spans="1:9" ht="12.75" customHeight="1" x14ac:dyDescent="0.2">
      <c r="A19" s="91"/>
      <c r="B19" s="92" t="s">
        <v>2</v>
      </c>
      <c r="C19" s="2" t="s">
        <v>28</v>
      </c>
      <c r="D19" s="60"/>
      <c r="E19" s="35">
        <f>IF(H19=0,0,SUMIF(detalle1!V:V,222,detalle1!T:T)/SUMIF(detalle1!V:V,222,detalle1!D:D))</f>
        <v>0</v>
      </c>
      <c r="F19" s="36">
        <f>+[2]xehet1!C290</f>
        <v>44</v>
      </c>
      <c r="G19" s="26">
        <f>+[2]xehet1!D290</f>
        <v>10653.819999999998</v>
      </c>
      <c r="H19" s="27">
        <f>COUNTIF(detalle1!V:V,222)</f>
        <v>0</v>
      </c>
      <c r="I19" s="80">
        <f>SUMIF(detalle1!V:V,222,detalle1!D:D)</f>
        <v>0</v>
      </c>
    </row>
    <row r="20" spans="1:9" ht="12.75" customHeight="1" x14ac:dyDescent="0.2">
      <c r="A20" s="91"/>
      <c r="B20" s="92" t="s">
        <v>3</v>
      </c>
      <c r="C20" s="2" t="s">
        <v>29</v>
      </c>
      <c r="D20" s="60"/>
      <c r="E20" s="35">
        <f>IF(H20=0,0,SUMIF(detalle1!V:V,223,detalle1!T:T)/SUMIF(detalle1!V:V,223,detalle1!D:D))</f>
        <v>0</v>
      </c>
      <c r="F20" s="36"/>
      <c r="G20" s="26"/>
      <c r="H20" s="27">
        <f>COUNTIF(detalle1!V:V,223)</f>
        <v>0</v>
      </c>
      <c r="I20" s="80">
        <f>SUMIF(detalle1!V:V,223,detalle1!D:D)</f>
        <v>0</v>
      </c>
    </row>
    <row r="21" spans="1:9" ht="12.75" customHeight="1" x14ac:dyDescent="0.2">
      <c r="A21" s="91"/>
      <c r="B21" s="92" t="s">
        <v>4</v>
      </c>
      <c r="C21" s="2" t="s">
        <v>30</v>
      </c>
      <c r="D21" s="60"/>
      <c r="E21" s="35">
        <f>IF(H21=0,0,SUMIF(detalle1!V:V,229,detalle1!T:T)/SUMIF(detalle1!V:V,229,detalle1!D:D))</f>
        <v>0</v>
      </c>
      <c r="F21" s="36">
        <f>+[2]xehet1!C291</f>
        <v>141</v>
      </c>
      <c r="G21" s="26">
        <f>+[2]xehet1!D291</f>
        <v>138506.46000000005</v>
      </c>
      <c r="H21" s="27">
        <f>COUNTIF(detalle1!V:V,229)</f>
        <v>0</v>
      </c>
      <c r="I21" s="80">
        <f>SUMIF(detalle1!V:V,229,detalle1!D:D)</f>
        <v>0</v>
      </c>
    </row>
    <row r="22" spans="1:9" ht="12.75" customHeight="1" x14ac:dyDescent="0.2">
      <c r="A22" s="142" t="s">
        <v>31</v>
      </c>
      <c r="B22" s="143"/>
      <c r="C22" s="143"/>
      <c r="D22" s="58">
        <f t="shared" ref="D22:I22" si="0">D23</f>
        <v>0</v>
      </c>
      <c r="E22" s="59">
        <f t="shared" si="0"/>
        <v>0</v>
      </c>
      <c r="F22" s="56">
        <f>F23</f>
        <v>37</v>
      </c>
      <c r="G22" s="29">
        <f>SUM(G23)</f>
        <v>83949.239999999991</v>
      </c>
      <c r="H22" s="28">
        <f t="shared" si="0"/>
        <v>0</v>
      </c>
      <c r="I22" s="90">
        <f t="shared" si="0"/>
        <v>0</v>
      </c>
    </row>
    <row r="23" spans="1:9" ht="12.75" customHeight="1" x14ac:dyDescent="0.2">
      <c r="A23" s="91"/>
      <c r="B23" s="93" t="s">
        <v>5</v>
      </c>
      <c r="C23" s="2" t="s">
        <v>31</v>
      </c>
      <c r="D23" s="60"/>
      <c r="E23" s="35">
        <f>IF(H23=0,0,SUMIF(detalle1!V:V,269,detalle1!T:T)/SUMIF(detalle1!V:V,269,detalle1!D:D))</f>
        <v>0</v>
      </c>
      <c r="F23" s="36">
        <f>+[2]xehet1!C292</f>
        <v>37</v>
      </c>
      <c r="G23" s="26">
        <f>+[2]xehet1!D292</f>
        <v>83949.239999999991</v>
      </c>
      <c r="H23" s="27">
        <f>COUNTIF(detalle1!V:V,269)</f>
        <v>0</v>
      </c>
      <c r="I23" s="80">
        <f>SUMIF(detalle1!V:V,269,detalle1!D:D)</f>
        <v>0</v>
      </c>
    </row>
    <row r="24" spans="1:9" ht="12.75" customHeight="1" x14ac:dyDescent="0.2">
      <c r="A24" s="142" t="s">
        <v>34</v>
      </c>
      <c r="B24" s="143"/>
      <c r="C24" s="143"/>
      <c r="D24" s="58">
        <f t="shared" ref="D24:I24" si="1">D25</f>
        <v>0</v>
      </c>
      <c r="E24" s="59">
        <f t="shared" si="1"/>
        <v>0</v>
      </c>
      <c r="F24" s="56">
        <f>F25</f>
        <v>0</v>
      </c>
      <c r="G24" s="29">
        <f>G25</f>
        <v>0</v>
      </c>
      <c r="H24" s="28">
        <f t="shared" si="1"/>
        <v>0</v>
      </c>
      <c r="I24" s="90">
        <f t="shared" si="1"/>
        <v>0</v>
      </c>
    </row>
    <row r="25" spans="1:9" ht="12.75" customHeight="1" x14ac:dyDescent="0.2">
      <c r="A25" s="91"/>
      <c r="B25" s="144" t="s">
        <v>32</v>
      </c>
      <c r="C25" s="144"/>
      <c r="D25" s="94"/>
      <c r="E25" s="95"/>
      <c r="F25" s="96"/>
      <c r="G25" s="97"/>
      <c r="H25" s="98"/>
      <c r="I25" s="99"/>
    </row>
    <row r="26" spans="1:9" ht="12.75" customHeight="1" thickBot="1" x14ac:dyDescent="0.25">
      <c r="A26" s="145" t="s">
        <v>20</v>
      </c>
      <c r="B26" s="146"/>
      <c r="C26" s="146"/>
      <c r="D26" s="69">
        <f>IF(G26+I26=0,0,(D16*(G16+I16)+D22*(G22+I22)+D24*(G24+I24))/(G26+I26))</f>
        <v>0</v>
      </c>
      <c r="E26" s="70">
        <f>IF(I26=0,0,(E16*I16+E22*I22+E24*I24)/I26)</f>
        <v>0</v>
      </c>
      <c r="F26" s="71">
        <f>+F24+F22+F16</f>
        <v>279</v>
      </c>
      <c r="G26" s="72">
        <f>+G24+G22+G16</f>
        <v>266941.80000000005</v>
      </c>
      <c r="H26" s="73">
        <f>H16+H22+H24</f>
        <v>0</v>
      </c>
      <c r="I26" s="77">
        <f>I16+I22+I24</f>
        <v>0</v>
      </c>
    </row>
    <row r="27" spans="1:9" ht="12.75" customHeight="1" x14ac:dyDescent="0.2">
      <c r="A27" s="2" t="s">
        <v>33</v>
      </c>
      <c r="D27" s="31">
        <f>IF(SUM(detalle1!D:D)=0,0,SUM(detalle1!T:T)/SUM(detalle1!D:D))-IF(G16+I16+G22+I22=0,0,(D16*(G16+I16)+D22*(G22+I22))/(G16+I16+G22+I22))</f>
        <v>0</v>
      </c>
      <c r="E27" s="31">
        <f>IF(SUMIF(detalle1!V:V,"&gt;199",detalle1!D:D)=0,0,SUMIF(detalle1!V:V,"&gt;199",detalle1!T:T)/SUMIF(detalle1!V:V,"&gt;199",detalle1!D:D))-IF(I16+I22=0,0,(E16*I16+E22*I22)/(I16+I22))</f>
        <v>0</v>
      </c>
      <c r="F27" s="31"/>
      <c r="G27" s="31"/>
      <c r="H27" s="31">
        <f>COUNTIF(detalle1!P:P,"&gt;30")-H26+H25</f>
        <v>0</v>
      </c>
      <c r="I27" s="31">
        <f>SUMIF(detalle1!P:P,"&gt;30",detalle1!D:D)-I26+I25</f>
        <v>0</v>
      </c>
    </row>
    <row r="30" spans="1:9" ht="13.5" thickBot="1" x14ac:dyDescent="0.25">
      <c r="A30" s="1" t="s">
        <v>16</v>
      </c>
    </row>
    <row r="31" spans="1:9" ht="12.75" customHeight="1" x14ac:dyDescent="0.2">
      <c r="A31" s="124" t="s">
        <v>36</v>
      </c>
      <c r="B31" s="125"/>
      <c r="C31" s="147"/>
      <c r="D31" s="151" t="s">
        <v>41</v>
      </c>
      <c r="E31" s="152"/>
      <c r="F31" s="152"/>
      <c r="G31" s="153"/>
    </row>
    <row r="32" spans="1:9" ht="21" customHeight="1" x14ac:dyDescent="0.2">
      <c r="A32" s="127"/>
      <c r="B32" s="128"/>
      <c r="C32" s="148"/>
      <c r="D32" s="54" t="s">
        <v>42</v>
      </c>
      <c r="E32" s="22" t="s">
        <v>6</v>
      </c>
      <c r="F32" s="22" t="s">
        <v>25</v>
      </c>
      <c r="G32" s="67" t="s">
        <v>6</v>
      </c>
    </row>
    <row r="33" spans="1:9" ht="12.75" customHeight="1" x14ac:dyDescent="0.2">
      <c r="A33" s="91"/>
      <c r="B33" s="149" t="s">
        <v>37</v>
      </c>
      <c r="C33" s="150"/>
      <c r="D33" s="64">
        <f>+F26</f>
        <v>279</v>
      </c>
      <c r="E33" s="32">
        <f>IF($D$38=0,0,D33*100/$D$38)</f>
        <v>100</v>
      </c>
      <c r="F33" s="32">
        <f>+G26</f>
        <v>266941.80000000005</v>
      </c>
      <c r="G33" s="74">
        <f>IF($F$38=0,0,F33*100/$F$38)</f>
        <v>100</v>
      </c>
    </row>
    <row r="34" spans="1:9" ht="12.75" customHeight="1" x14ac:dyDescent="0.2">
      <c r="A34" s="91"/>
      <c r="B34" s="140" t="s">
        <v>38</v>
      </c>
      <c r="C34" s="141"/>
      <c r="D34" s="65">
        <v>0</v>
      </c>
      <c r="E34" s="26">
        <f>IF($D$38=0,0,D34*100/$D$38)</f>
        <v>0</v>
      </c>
      <c r="F34" s="26">
        <v>0</v>
      </c>
      <c r="G34" s="68">
        <f>IF($F$38=0,0,F34*100/$F$38)</f>
        <v>0</v>
      </c>
    </row>
    <row r="35" spans="1:9" ht="12.75" customHeight="1" x14ac:dyDescent="0.2">
      <c r="A35" s="91"/>
      <c r="B35" s="140" t="s">
        <v>39</v>
      </c>
      <c r="C35" s="141"/>
      <c r="D35" s="65">
        <v>0</v>
      </c>
      <c r="E35" s="26">
        <f>IF($D$38=0,0,D35*100/$D$38)</f>
        <v>0</v>
      </c>
      <c r="F35" s="26">
        <v>0</v>
      </c>
      <c r="G35" s="68">
        <f>IF($F$38=0,0,F35*100/$F$38)</f>
        <v>0</v>
      </c>
    </row>
    <row r="36" spans="1:9" ht="12.75" customHeight="1" x14ac:dyDescent="0.2">
      <c r="A36" s="91"/>
      <c r="B36" s="140" t="s">
        <v>38</v>
      </c>
      <c r="C36" s="141"/>
      <c r="D36" s="65">
        <v>0</v>
      </c>
      <c r="E36" s="26">
        <f>IF($D$38=0,0,D36*100/$D$38)</f>
        <v>0</v>
      </c>
      <c r="F36" s="26">
        <v>0</v>
      </c>
      <c r="G36" s="68">
        <f>IF($F$38=0,0,F36*100/$F$38)</f>
        <v>0</v>
      </c>
    </row>
    <row r="37" spans="1:9" ht="12.75" customHeight="1" x14ac:dyDescent="0.2">
      <c r="A37" s="100"/>
      <c r="B37" s="144" t="s">
        <v>40</v>
      </c>
      <c r="C37" s="154"/>
      <c r="D37" s="89">
        <f>COUNTIF(detalle1!P:P,"&gt;60")+IF(E25&gt;60,H25)</f>
        <v>0</v>
      </c>
      <c r="E37" s="26">
        <f>IF($D$38=0,0,D37*100/$D$38)</f>
        <v>0</v>
      </c>
      <c r="F37" s="30">
        <f>SUMIF(detalle1!P:P,"&gt;60",detalle1!D:D)+IF(E25&gt;60,I25)</f>
        <v>0</v>
      </c>
      <c r="G37" s="68">
        <f>IF($F$38=0,0,F37*100/$F$38)</f>
        <v>0</v>
      </c>
    </row>
    <row r="38" spans="1:9" ht="12.75" customHeight="1" thickBot="1" x14ac:dyDescent="0.25">
      <c r="A38" s="155" t="s">
        <v>20</v>
      </c>
      <c r="B38" s="156"/>
      <c r="C38" s="157"/>
      <c r="D38" s="75">
        <f>SUM(D33:D37)</f>
        <v>279</v>
      </c>
      <c r="E38" s="76">
        <f>SUM(E33:E37)</f>
        <v>100</v>
      </c>
      <c r="F38" s="76">
        <f>SUM(F33:F37)</f>
        <v>266941.80000000005</v>
      </c>
      <c r="G38" s="77">
        <f>SUM(G33:G37)</f>
        <v>100</v>
      </c>
    </row>
    <row r="39" spans="1:9" ht="12.75" customHeight="1" x14ac:dyDescent="0.2">
      <c r="A39" s="33"/>
      <c r="B39" s="33"/>
      <c r="C39" s="33"/>
      <c r="D39" s="31"/>
      <c r="E39" s="31"/>
      <c r="F39" s="31"/>
    </row>
    <row r="40" spans="1:9" ht="12.75" customHeight="1" x14ac:dyDescent="0.2">
      <c r="A40" s="33"/>
      <c r="B40" s="33"/>
      <c r="C40" s="33"/>
      <c r="D40" s="31"/>
      <c r="E40" s="31"/>
      <c r="F40" s="31"/>
    </row>
    <row r="41" spans="1:9" ht="12.75" customHeight="1" x14ac:dyDescent="0.2">
      <c r="A41" s="33"/>
      <c r="B41" s="33"/>
      <c r="C41" s="33"/>
    </row>
    <row r="42" spans="1:9" s="39" customFormat="1" ht="15.75" x14ac:dyDescent="0.25">
      <c r="A42" s="38" t="s">
        <v>68</v>
      </c>
    </row>
    <row r="43" spans="1:9" ht="12.75" customHeight="1" x14ac:dyDescent="0.2">
      <c r="A43" s="4"/>
    </row>
    <row r="44" spans="1:9" ht="12.75" customHeight="1" thickBot="1" x14ac:dyDescent="0.25">
      <c r="A44" s="4"/>
    </row>
    <row r="45" spans="1:9" ht="12.75" customHeight="1" x14ac:dyDescent="0.2">
      <c r="A45" s="124" t="s">
        <v>61</v>
      </c>
      <c r="B45" s="125"/>
      <c r="C45" s="126"/>
      <c r="D45" s="130" t="s">
        <v>18</v>
      </c>
      <c r="E45" s="131"/>
      <c r="F45" s="132" t="s">
        <v>43</v>
      </c>
      <c r="G45" s="133"/>
      <c r="H45" s="133"/>
      <c r="I45" s="134"/>
    </row>
    <row r="46" spans="1:9" ht="12.75" customHeight="1" x14ac:dyDescent="0.2">
      <c r="A46" s="127"/>
      <c r="B46" s="128"/>
      <c r="C46" s="129"/>
      <c r="D46" s="135" t="s">
        <v>19</v>
      </c>
      <c r="E46" s="136"/>
      <c r="F46" s="137" t="s">
        <v>21</v>
      </c>
      <c r="G46" s="138"/>
      <c r="H46" s="138" t="s">
        <v>22</v>
      </c>
      <c r="I46" s="139"/>
    </row>
    <row r="47" spans="1:9" ht="22.5" x14ac:dyDescent="0.2">
      <c r="A47" s="127"/>
      <c r="B47" s="128"/>
      <c r="C47" s="129"/>
      <c r="D47" s="57" t="s">
        <v>20</v>
      </c>
      <c r="E47" s="23" t="s">
        <v>60</v>
      </c>
      <c r="F47" s="54" t="s">
        <v>44</v>
      </c>
      <c r="G47" s="22" t="s">
        <v>25</v>
      </c>
      <c r="H47" s="22" t="s">
        <v>44</v>
      </c>
      <c r="I47" s="67" t="s">
        <v>25</v>
      </c>
    </row>
    <row r="48" spans="1:9" ht="12.75" customHeight="1" x14ac:dyDescent="0.2">
      <c r="A48" s="142" t="s">
        <v>35</v>
      </c>
      <c r="B48" s="143"/>
      <c r="C48" s="143"/>
      <c r="D48" s="58">
        <f>SUM(D49:D53)</f>
        <v>0</v>
      </c>
      <c r="E48" s="59">
        <f>IF(I48=0,0,(E49*I49+E50*I50+E51*I51+E52*I52+E53*I53)/I48)</f>
        <v>0</v>
      </c>
      <c r="F48" s="55">
        <f>SUM(F49:F53)</f>
        <v>52</v>
      </c>
      <c r="G48" s="24">
        <f>SUM(G49:G53)</f>
        <v>24342.139999999992</v>
      </c>
      <c r="H48" s="25">
        <f>SUM(H49:H53)</f>
        <v>0</v>
      </c>
      <c r="I48" s="90">
        <f>SUM(I49:I53)</f>
        <v>0</v>
      </c>
    </row>
    <row r="49" spans="1:9" ht="12.75" customHeight="1" x14ac:dyDescent="0.2">
      <c r="A49" s="91"/>
      <c r="B49" s="92" t="s">
        <v>0</v>
      </c>
      <c r="C49" s="2" t="s">
        <v>26</v>
      </c>
      <c r="D49" s="60">
        <v>0</v>
      </c>
      <c r="E49" s="35">
        <f>IF(H49=0,0,SUMIF([1]xehet2!V$1:V$65536,220,[1]xehet2!T$1:T$65536)/SUMIF([1]xehet2!V$1:V$65536,220,[1]xehet2!D$1:D$65536))</f>
        <v>0</v>
      </c>
      <c r="F49" s="36"/>
      <c r="G49" s="26"/>
      <c r="H49" s="27"/>
      <c r="I49" s="80"/>
    </row>
    <row r="50" spans="1:9" ht="12.75" customHeight="1" x14ac:dyDescent="0.2">
      <c r="A50" s="91"/>
      <c r="B50" s="92" t="s">
        <v>1</v>
      </c>
      <c r="C50" s="2" t="s">
        <v>27</v>
      </c>
      <c r="D50" s="60">
        <v>0</v>
      </c>
      <c r="E50" s="35">
        <f>IF(H50=0,0,SUMIF([1]xehet2!V$1:V$65536,221,[1]xehet2!T$1:T$65536)/SUMIF([1]xehet2!V$1:V$65536,221,[1]xehet2!D$1:D$65536))</f>
        <v>0</v>
      </c>
      <c r="F50" s="36">
        <f>+[2]xehet2!C68</f>
        <v>7</v>
      </c>
      <c r="G50" s="26">
        <f>+[2]xehet2!D68</f>
        <v>5110.57</v>
      </c>
      <c r="H50" s="27"/>
      <c r="I50" s="80"/>
    </row>
    <row r="51" spans="1:9" ht="12.75" customHeight="1" x14ac:dyDescent="0.2">
      <c r="A51" s="91"/>
      <c r="B51" s="92" t="s">
        <v>2</v>
      </c>
      <c r="C51" s="2" t="s">
        <v>28</v>
      </c>
      <c r="D51" s="60">
        <v>0</v>
      </c>
      <c r="E51" s="35">
        <f>IF(H51=0,0,SUMIF([1]xehet2!V$1:V$65536,222,[1]xehet2!T$1:T$65536)/SUMIF([1]xehet2!V$1:V$65536,222,[1]xehet2!D$1:D$65536))</f>
        <v>0</v>
      </c>
      <c r="F51" s="36">
        <f>+[2]xehet2!C69</f>
        <v>9</v>
      </c>
      <c r="G51" s="26">
        <f>+[2]xehet2!D69</f>
        <v>1564.17</v>
      </c>
      <c r="H51" s="27"/>
      <c r="I51" s="80"/>
    </row>
    <row r="52" spans="1:9" ht="12.75" customHeight="1" x14ac:dyDescent="0.2">
      <c r="A52" s="91"/>
      <c r="B52" s="92" t="s">
        <v>3</v>
      </c>
      <c r="C52" s="2" t="s">
        <v>29</v>
      </c>
      <c r="D52" s="60">
        <v>0</v>
      </c>
      <c r="E52" s="35">
        <f>IF(H52=0,0,SUMIF([1]xehet2!V$1:V$65536,223,[1]xehet2!T$1:T$65536)/SUMIF([1]xehet2!V$1:V$65536,223,[1]xehet2!D$1:D$65536))</f>
        <v>0</v>
      </c>
      <c r="F52" s="36"/>
      <c r="G52" s="26"/>
      <c r="H52" s="27"/>
      <c r="I52" s="80"/>
    </row>
    <row r="53" spans="1:9" ht="12.75" customHeight="1" x14ac:dyDescent="0.2">
      <c r="A53" s="91"/>
      <c r="B53" s="92" t="s">
        <v>4</v>
      </c>
      <c r="C53" s="2" t="s">
        <v>30</v>
      </c>
      <c r="D53" s="60">
        <v>0</v>
      </c>
      <c r="E53" s="35">
        <f>IF(H53=0,0,SUMIF([1]xehet2!V$1:V$65536,229,[1]xehet2!T$1:T$65536)/SUMIF([1]xehet2!V$1:V$65536,229,[1]xehet2!D$1:D$65536))</f>
        <v>0</v>
      </c>
      <c r="F53" s="36">
        <f>+[2]xehet2!C70</f>
        <v>36</v>
      </c>
      <c r="G53" s="26">
        <f>+[2]xehet2!D70</f>
        <v>17667.399999999994</v>
      </c>
      <c r="H53" s="27"/>
      <c r="I53" s="80"/>
    </row>
    <row r="54" spans="1:9" ht="12.75" customHeight="1" x14ac:dyDescent="0.2">
      <c r="A54" s="142" t="s">
        <v>31</v>
      </c>
      <c r="B54" s="143"/>
      <c r="C54" s="143"/>
      <c r="D54" s="58">
        <f t="shared" ref="D54:I54" si="2">D55</f>
        <v>0</v>
      </c>
      <c r="E54" s="59">
        <f t="shared" si="2"/>
        <v>0</v>
      </c>
      <c r="F54" s="56">
        <f t="shared" si="2"/>
        <v>3</v>
      </c>
      <c r="G54" s="29">
        <f t="shared" si="2"/>
        <v>1939.8000000000002</v>
      </c>
      <c r="H54" s="28">
        <f t="shared" si="2"/>
        <v>0</v>
      </c>
      <c r="I54" s="90">
        <f t="shared" si="2"/>
        <v>0</v>
      </c>
    </row>
    <row r="55" spans="1:9" ht="12.75" customHeight="1" x14ac:dyDescent="0.2">
      <c r="A55" s="91"/>
      <c r="B55" s="93" t="s">
        <v>5</v>
      </c>
      <c r="C55" s="2" t="s">
        <v>31</v>
      </c>
      <c r="D55" s="60">
        <v>0</v>
      </c>
      <c r="E55" s="35">
        <f>IF(H55=0,0,SUMIF([1]xehet2!V$1:V$65536,269,[1]xehet2!T$1:T$65536)/SUMIF([1]xehet2!V$1:V$65536,269,[1]xehet2!D$1:D$65536))</f>
        <v>0</v>
      </c>
      <c r="F55" s="36">
        <f>+[2]xehet2!C71</f>
        <v>3</v>
      </c>
      <c r="G55" s="26">
        <f>+[2]xehet2!D71</f>
        <v>1939.8000000000002</v>
      </c>
      <c r="H55" s="27"/>
      <c r="I55" s="80"/>
    </row>
    <row r="56" spans="1:9" ht="12.75" customHeight="1" x14ac:dyDescent="0.2">
      <c r="A56" s="142" t="s">
        <v>34</v>
      </c>
      <c r="B56" s="143"/>
      <c r="C56" s="143"/>
      <c r="D56" s="58">
        <f t="shared" ref="D56:I56" si="3">D57</f>
        <v>0</v>
      </c>
      <c r="E56" s="59">
        <f t="shared" si="3"/>
        <v>0</v>
      </c>
      <c r="F56" s="56">
        <f>F57</f>
        <v>0</v>
      </c>
      <c r="G56" s="29">
        <f t="shared" si="3"/>
        <v>0</v>
      </c>
      <c r="H56" s="28">
        <f t="shared" si="3"/>
        <v>0</v>
      </c>
      <c r="I56" s="90">
        <f t="shared" si="3"/>
        <v>0</v>
      </c>
    </row>
    <row r="57" spans="1:9" ht="12.75" customHeight="1" x14ac:dyDescent="0.2">
      <c r="A57" s="91"/>
      <c r="B57" s="144" t="s">
        <v>32</v>
      </c>
      <c r="C57" s="144"/>
      <c r="D57" s="94"/>
      <c r="E57" s="95"/>
      <c r="F57" s="96"/>
      <c r="G57" s="97"/>
      <c r="H57" s="98"/>
      <c r="I57" s="99"/>
    </row>
    <row r="58" spans="1:9" ht="12.75" customHeight="1" thickBot="1" x14ac:dyDescent="0.25">
      <c r="A58" s="145" t="s">
        <v>20</v>
      </c>
      <c r="B58" s="146"/>
      <c r="C58" s="146"/>
      <c r="D58" s="69">
        <f>+D56+D54+D48</f>
        <v>0</v>
      </c>
      <c r="E58" s="70">
        <f>IF(I58=0,0,(E48*I48+E54*I54+E56*I56)/I58)</f>
        <v>0</v>
      </c>
      <c r="F58" s="71">
        <f>+F56+F54+F48</f>
        <v>55</v>
      </c>
      <c r="G58" s="72">
        <f>+G56+G54+G48</f>
        <v>26281.939999999991</v>
      </c>
      <c r="H58" s="73">
        <f>H48+H54+H56</f>
        <v>0</v>
      </c>
      <c r="I58" s="77">
        <f>I48+I54+I56</f>
        <v>0</v>
      </c>
    </row>
    <row r="59" spans="1:9" ht="12.75" customHeight="1" x14ac:dyDescent="0.2">
      <c r="A59" s="2" t="s">
        <v>33</v>
      </c>
      <c r="D59" s="111">
        <v>0</v>
      </c>
      <c r="E59" s="31"/>
      <c r="F59" s="31"/>
      <c r="G59" s="31"/>
      <c r="H59" s="31"/>
      <c r="I59" s="31"/>
    </row>
    <row r="60" spans="1:9" ht="12.75" customHeight="1" x14ac:dyDescent="0.2">
      <c r="E60" s="103">
        <f>SUMIF(detalle2!V:V,"&gt;199",detalle2!D:D)</f>
        <v>0</v>
      </c>
    </row>
    <row r="63" spans="1:9" s="39" customFormat="1" ht="15.75" x14ac:dyDescent="0.25">
      <c r="A63" s="38" t="s">
        <v>64</v>
      </c>
    </row>
    <row r="64" spans="1:9" ht="12.75" customHeight="1" x14ac:dyDescent="0.2">
      <c r="A64" s="4"/>
    </row>
    <row r="65" spans="1:7" ht="12.75" customHeight="1" x14ac:dyDescent="0.2">
      <c r="A65" s="4"/>
    </row>
    <row r="66" spans="1:7" s="19" customFormat="1" ht="13.5" thickBot="1" x14ac:dyDescent="0.25">
      <c r="A66" s="1" t="s">
        <v>63</v>
      </c>
    </row>
    <row r="67" spans="1:7" ht="33.75" x14ac:dyDescent="0.2">
      <c r="A67" s="124" t="s">
        <v>62</v>
      </c>
      <c r="B67" s="125"/>
      <c r="C67" s="147"/>
      <c r="D67" s="78" t="s">
        <v>46</v>
      </c>
      <c r="E67" s="66" t="s">
        <v>47</v>
      </c>
      <c r="F67" s="79" t="s">
        <v>25</v>
      </c>
      <c r="G67" s="34"/>
    </row>
    <row r="68" spans="1:7" ht="12.75" customHeight="1" x14ac:dyDescent="0.2">
      <c r="A68" s="101"/>
      <c r="B68" s="161" t="s">
        <v>35</v>
      </c>
      <c r="C68" s="162"/>
      <c r="D68" s="61">
        <f>IF(E68=0,0,SUMIF(detalle32!T:T,22,detalle32!R:R)/SUMIF(detalle32!T:T,22,detalle32!D:D))</f>
        <v>0</v>
      </c>
      <c r="E68" s="27">
        <f>COUNTIF(detalle32!T:T,22)</f>
        <v>0</v>
      </c>
      <c r="F68" s="80">
        <f>SUMIF(detalle32!T:T,22,detalle32!D:D)</f>
        <v>0</v>
      </c>
    </row>
    <row r="69" spans="1:7" ht="12.75" customHeight="1" x14ac:dyDescent="0.2">
      <c r="A69" s="91"/>
      <c r="B69" s="140" t="s">
        <v>31</v>
      </c>
      <c r="C69" s="141"/>
      <c r="D69" s="61">
        <f>IF(E69=0,0,SUMIF(detalle32!T:T,26,detalle32!R:R)/SUMIF(detalle32!T:T,26,detalle32!D:D))</f>
        <v>0</v>
      </c>
      <c r="E69" s="27">
        <f>COUNTIF(detalle32!T:T,26)</f>
        <v>0</v>
      </c>
      <c r="F69" s="80">
        <f>SUMIF(detalle32!T:T,26,detalle32!D:D)</f>
        <v>0</v>
      </c>
    </row>
    <row r="70" spans="1:7" ht="12.75" customHeight="1" x14ac:dyDescent="0.2">
      <c r="A70" s="100"/>
      <c r="B70" s="144" t="s">
        <v>45</v>
      </c>
      <c r="C70" s="154"/>
      <c r="D70" s="61">
        <f>IF(E70=0,0,SUMIF(detalle32!T:T,29,detalle32!R:R)/SUMIF(detalle32!T:T,29,detalle32!D:D))</f>
        <v>0</v>
      </c>
      <c r="E70" s="27">
        <f>COUNTIF(detalle32!T:T,29)</f>
        <v>0</v>
      </c>
      <c r="F70" s="80">
        <f>SUMIF(detalle32!T:T,29,detalle32!D:D)</f>
        <v>0</v>
      </c>
    </row>
    <row r="71" spans="1:7" ht="12.75" customHeight="1" thickBot="1" x14ac:dyDescent="0.25">
      <c r="A71" s="158" t="s">
        <v>20</v>
      </c>
      <c r="B71" s="159"/>
      <c r="C71" s="160"/>
      <c r="D71" s="81">
        <f>IF(F71=0,0,(D68*F68+D69*F69+D70*F70)/F71)</f>
        <v>0</v>
      </c>
      <c r="E71" s="73">
        <f>SUM(E68:E70)</f>
        <v>0</v>
      </c>
      <c r="F71" s="82">
        <f>SUM(F68:F70)</f>
        <v>0</v>
      </c>
    </row>
    <row r="72" spans="1:7" ht="12.75" customHeight="1" x14ac:dyDescent="0.2">
      <c r="D72" s="31">
        <f>IF(D73=0,0,SUMIF(detalle32!O:O,"&gt;90",detalle32!R:R)/SUMIF(detalle32!O:O,"&gt;90",detalle32!D:D))-IF(D71="",0,D71)</f>
        <v>0</v>
      </c>
      <c r="E72" s="31">
        <f>COUNTIF(detalle32!O:O,"&gt;90")-E71</f>
        <v>0</v>
      </c>
      <c r="F72" s="31">
        <f>SUMIF(detalle32!O:O,"&gt;90",detalle32!D:D)-F71</f>
        <v>0</v>
      </c>
    </row>
    <row r="73" spans="1:7" ht="12.75" customHeight="1" x14ac:dyDescent="0.2">
      <c r="D73" s="103">
        <f>SUMIF(detalle32!O:O,"&gt;90",detalle32!D:D)</f>
        <v>0</v>
      </c>
    </row>
    <row r="74" spans="1:7" s="19" customFormat="1" ht="13.5" thickBot="1" x14ac:dyDescent="0.25">
      <c r="A74" s="1" t="s">
        <v>65</v>
      </c>
    </row>
    <row r="75" spans="1:7" ht="12.75" customHeight="1" x14ac:dyDescent="0.2">
      <c r="A75" s="124" t="s">
        <v>66</v>
      </c>
      <c r="B75" s="125"/>
      <c r="C75" s="147"/>
      <c r="D75" s="151" t="s">
        <v>55</v>
      </c>
      <c r="E75" s="152"/>
      <c r="F75" s="152"/>
      <c r="G75" s="153"/>
    </row>
    <row r="76" spans="1:7" ht="22.5" x14ac:dyDescent="0.2">
      <c r="A76" s="127"/>
      <c r="B76" s="128"/>
      <c r="C76" s="148"/>
      <c r="D76" s="54" t="s">
        <v>42</v>
      </c>
      <c r="E76" s="22" t="s">
        <v>6</v>
      </c>
      <c r="F76" s="22" t="s">
        <v>25</v>
      </c>
      <c r="G76" s="67" t="s">
        <v>6</v>
      </c>
    </row>
    <row r="77" spans="1:7" ht="12.75" customHeight="1" x14ac:dyDescent="0.2">
      <c r="A77" s="101"/>
      <c r="B77" s="149" t="s">
        <v>37</v>
      </c>
      <c r="C77" s="150"/>
      <c r="D77" s="36">
        <f>COUNTIF(detalle32!O:O,"&lt;=30")</f>
        <v>0</v>
      </c>
      <c r="E77" s="37">
        <f>IF($D$81=0,0,D77*100/$D$81)</f>
        <v>0</v>
      </c>
      <c r="F77" s="26">
        <f>SUMIF(detalle32!O:O,"&lt;=30",detalle32!D:D)</f>
        <v>0</v>
      </c>
      <c r="G77" s="83">
        <f>IF($F$81=0,0,F77*100/$F$81)</f>
        <v>0</v>
      </c>
    </row>
    <row r="78" spans="1:7" ht="12.75" customHeight="1" x14ac:dyDescent="0.2">
      <c r="A78" s="91"/>
      <c r="B78" s="140" t="s">
        <v>48</v>
      </c>
      <c r="C78" s="141"/>
      <c r="D78" s="36">
        <f>COUNTIF(detalle32!O:O,"&lt;=60")-D77</f>
        <v>0</v>
      </c>
      <c r="E78" s="37">
        <f>IF($D$81=0,0,D78*100/$D$81)</f>
        <v>0</v>
      </c>
      <c r="F78" s="26">
        <f>SUMIF(detalle32!O:O,"&lt;=60",detalle32!D:D)-F77</f>
        <v>0</v>
      </c>
      <c r="G78" s="83">
        <f>IF($F$81=0,0,F78*100/$F$81)</f>
        <v>0</v>
      </c>
    </row>
    <row r="79" spans="1:7" ht="12.75" customHeight="1" x14ac:dyDescent="0.2">
      <c r="A79" s="91"/>
      <c r="B79" s="140" t="s">
        <v>49</v>
      </c>
      <c r="C79" s="141"/>
      <c r="D79" s="36">
        <f>COUNTIF(detalle32!O:O,"&lt;=90")-SUM(D77:D78)</f>
        <v>0</v>
      </c>
      <c r="E79" s="37">
        <f>IF($D$81=0,0,D79*100/$D$81)</f>
        <v>0</v>
      </c>
      <c r="F79" s="26">
        <f>SUMIF(detalle32!O:O,"&lt;=90",detalle32!D:D)-SUM(F77:F78)</f>
        <v>0</v>
      </c>
      <c r="G79" s="83">
        <f>IF($F$81=0,0,F79*100/$F$81)</f>
        <v>0</v>
      </c>
    </row>
    <row r="80" spans="1:7" ht="12.75" customHeight="1" x14ac:dyDescent="0.2">
      <c r="A80" s="91"/>
      <c r="B80" s="144" t="s">
        <v>50</v>
      </c>
      <c r="C80" s="154"/>
      <c r="D80" s="36">
        <f>COUNTIF(detalle32!O:O,"&gt;90")</f>
        <v>0</v>
      </c>
      <c r="E80" s="37">
        <f>IF($D$81=0,0,D80*100/$D$81)</f>
        <v>0</v>
      </c>
      <c r="F80" s="26">
        <f>SUMIF(detalle32!O:O,"&gt;90",detalle32!D:D)</f>
        <v>0</v>
      </c>
      <c r="G80" s="83">
        <f>IF($F$81=0,0,F80*100/$F$81)</f>
        <v>0</v>
      </c>
    </row>
    <row r="81" spans="1:8" ht="12.75" customHeight="1" thickBot="1" x14ac:dyDescent="0.25">
      <c r="A81" s="165" t="s">
        <v>20</v>
      </c>
      <c r="B81" s="166"/>
      <c r="C81" s="167"/>
      <c r="D81" s="71">
        <f>SUM(D77:D80)</f>
        <v>0</v>
      </c>
      <c r="E81" s="84">
        <f>SUM(E77:E80)</f>
        <v>0</v>
      </c>
      <c r="F81" s="72">
        <f>SUM(F77:F80)</f>
        <v>0</v>
      </c>
      <c r="G81" s="85">
        <f>SUM(G77:G80)</f>
        <v>0</v>
      </c>
    </row>
    <row r="82" spans="1:8" ht="12.75" customHeight="1" x14ac:dyDescent="0.2">
      <c r="A82" s="33"/>
      <c r="B82" s="33"/>
      <c r="C82" s="33"/>
      <c r="D82" s="31">
        <f>COUNT(detalle32!D:D)-D81</f>
        <v>0</v>
      </c>
      <c r="E82" s="31"/>
      <c r="F82" s="31">
        <f>SUM(detalle32!D:D)-F81</f>
        <v>0</v>
      </c>
    </row>
    <row r="83" spans="1:8" ht="12.75" customHeight="1" x14ac:dyDescent="0.2">
      <c r="A83" s="33"/>
      <c r="B83" s="33"/>
      <c r="C83" s="33"/>
      <c r="D83" s="31">
        <f>E71-D80</f>
        <v>0</v>
      </c>
      <c r="E83" s="31"/>
      <c r="F83" s="31">
        <f>F71-F80</f>
        <v>0</v>
      </c>
    </row>
    <row r="84" spans="1:8" ht="12.75" customHeight="1" x14ac:dyDescent="0.2">
      <c r="A84" s="33"/>
      <c r="B84" s="33"/>
      <c r="C84" s="33"/>
    </row>
    <row r="85" spans="1:8" s="39" customFormat="1" ht="15.75" x14ac:dyDescent="0.25">
      <c r="A85" s="38" t="s">
        <v>51</v>
      </c>
      <c r="B85" s="53"/>
      <c r="C85" s="53"/>
    </row>
    <row r="86" spans="1:8" ht="12.75" customHeight="1" x14ac:dyDescent="0.2">
      <c r="A86" s="4"/>
      <c r="B86" s="33"/>
      <c r="C86" s="33"/>
    </row>
    <row r="87" spans="1:8" ht="12.75" customHeight="1" thickBot="1" x14ac:dyDescent="0.25"/>
    <row r="88" spans="1:8" ht="12.75" customHeight="1" x14ac:dyDescent="0.2">
      <c r="A88" s="168" t="s">
        <v>52</v>
      </c>
      <c r="B88" s="169"/>
      <c r="C88" s="170"/>
      <c r="D88" s="179" t="s">
        <v>58</v>
      </c>
      <c r="E88" s="180"/>
      <c r="F88" s="179" t="s">
        <v>59</v>
      </c>
      <c r="G88" s="180"/>
      <c r="H88" s="174" t="s">
        <v>56</v>
      </c>
    </row>
    <row r="89" spans="1:8" ht="12.75" customHeight="1" x14ac:dyDescent="0.2">
      <c r="A89" s="171"/>
      <c r="B89" s="172"/>
      <c r="C89" s="173"/>
      <c r="D89" s="62" t="s">
        <v>54</v>
      </c>
      <c r="E89" s="63" t="s">
        <v>57</v>
      </c>
      <c r="F89" s="62" t="s">
        <v>54</v>
      </c>
      <c r="G89" s="63" t="s">
        <v>57</v>
      </c>
      <c r="H89" s="175"/>
    </row>
    <row r="90" spans="1:8" ht="12.75" customHeight="1" thickBot="1" x14ac:dyDescent="0.25">
      <c r="A90" s="176" t="str">
        <f>D3</f>
        <v>OARSOALDEA</v>
      </c>
      <c r="B90" s="177"/>
      <c r="C90" s="178"/>
      <c r="D90" s="86">
        <f>IF((SUM(detalle1!D:D)+G24+I24)=0,0,(SUM(detalle1!T:T)+D24*(G24+I24))/(SUM(detalle1!D:D)+G24+I24))</f>
        <v>0</v>
      </c>
      <c r="E90" s="87">
        <f>+G26</f>
        <v>266941.80000000005</v>
      </c>
      <c r="F90" s="86"/>
      <c r="G90" s="87">
        <f>+G58</f>
        <v>26281.939999999991</v>
      </c>
      <c r="H90" s="88">
        <f>IF(E90=0,F90,IF(G90=0,D90,(D90*E90+F90*G90)/(E90+G90)))</f>
        <v>0</v>
      </c>
    </row>
    <row r="91" spans="1:8" ht="12.75" customHeight="1" x14ac:dyDescent="0.2">
      <c r="D91" s="31"/>
      <c r="E91" s="104">
        <f>E90-F38</f>
        <v>0</v>
      </c>
      <c r="F91" s="104"/>
      <c r="G91" s="104">
        <f>G90-G58-I58-F81</f>
        <v>0</v>
      </c>
      <c r="H91" s="104">
        <f>IF(H92=0,0,(SUM(detalle1!U:U)+SUM(detalle2!U:U)+SUM(detalle32!S:S)+D24*(G24+I24)+D56*(G56+I56))/(SUM(detalle1!D:D)+SUM(detalle2!D:D)+SUM(detalle32!D:D)+G24+I24+G56+I56))-IF(H90="",0,H90)</f>
        <v>-9.063777765742973</v>
      </c>
    </row>
    <row r="92" spans="1:8" ht="12.75" customHeight="1" thickBot="1" x14ac:dyDescent="0.25">
      <c r="A92" s="4" t="s">
        <v>53</v>
      </c>
      <c r="H92" s="102">
        <f>(SUM(detalle1!D:D)+SUM(detalle2!D:D)+SUM(detalle32!D:D)+G24+I24+G56+I56)</f>
        <v>1172894.9600000002</v>
      </c>
    </row>
    <row r="93" spans="1:8" ht="43.5" customHeight="1" thickBot="1" x14ac:dyDescent="0.25">
      <c r="B93" s="163"/>
      <c r="C93" s="164"/>
    </row>
  </sheetData>
  <mergeCells count="51">
    <mergeCell ref="D75:G75"/>
    <mergeCell ref="B93:C93"/>
    <mergeCell ref="A81:C81"/>
    <mergeCell ref="A88:C89"/>
    <mergeCell ref="H88:H89"/>
    <mergeCell ref="A90:C90"/>
    <mergeCell ref="D88:E88"/>
    <mergeCell ref="F88:G88"/>
    <mergeCell ref="B77:C77"/>
    <mergeCell ref="B78:C78"/>
    <mergeCell ref="B80:C80"/>
    <mergeCell ref="B79:C79"/>
    <mergeCell ref="A71:C71"/>
    <mergeCell ref="A75:C76"/>
    <mergeCell ref="A48:C48"/>
    <mergeCell ref="A54:C54"/>
    <mergeCell ref="A56:C56"/>
    <mergeCell ref="B57:C57"/>
    <mergeCell ref="A58:C58"/>
    <mergeCell ref="A67:C67"/>
    <mergeCell ref="B68:C68"/>
    <mergeCell ref="B69:C69"/>
    <mergeCell ref="B70:C70"/>
    <mergeCell ref="B36:C36"/>
    <mergeCell ref="B37:C37"/>
    <mergeCell ref="A38:C38"/>
    <mergeCell ref="A45:C47"/>
    <mergeCell ref="D45:E45"/>
    <mergeCell ref="F45:I45"/>
    <mergeCell ref="D46:E46"/>
    <mergeCell ref="F46:G46"/>
    <mergeCell ref="H46:I46"/>
    <mergeCell ref="D31:G31"/>
    <mergeCell ref="B35:C35"/>
    <mergeCell ref="A16:C16"/>
    <mergeCell ref="A22:C22"/>
    <mergeCell ref="A24:C24"/>
    <mergeCell ref="B25:C25"/>
    <mergeCell ref="A26:C26"/>
    <mergeCell ref="A31:C32"/>
    <mergeCell ref="B33:C33"/>
    <mergeCell ref="B34:C34"/>
    <mergeCell ref="A1:B1"/>
    <mergeCell ref="A2:I2"/>
    <mergeCell ref="D3:G3"/>
    <mergeCell ref="A13:C15"/>
    <mergeCell ref="D13:E13"/>
    <mergeCell ref="F13:I13"/>
    <mergeCell ref="D14:E14"/>
    <mergeCell ref="F14:G14"/>
    <mergeCell ref="H14:I14"/>
  </mergeCells>
  <phoneticPr fontId="4" type="noConversion"/>
  <conditionalFormatting sqref="H90">
    <cfRule type="expression" dxfId="24" priority="13" stopIfTrue="1">
      <formula>$E$90+$G$90=0</formula>
    </cfRule>
  </conditionalFormatting>
  <conditionalFormatting sqref="G77:G80">
    <cfRule type="expression" dxfId="23" priority="14" stopIfTrue="1">
      <formula>F$81=0</formula>
    </cfRule>
  </conditionalFormatting>
  <conditionalFormatting sqref="D68:D70 D23 D55 D49:D53 D17:D21">
    <cfRule type="expression" dxfId="22" priority="15" stopIfTrue="1">
      <formula>F17+H17=0</formula>
    </cfRule>
  </conditionalFormatting>
  <conditionalFormatting sqref="E17:E21 E23 E49:E53 E55">
    <cfRule type="expression" dxfId="21" priority="16" stopIfTrue="1">
      <formula>H17=0</formula>
    </cfRule>
  </conditionalFormatting>
  <conditionalFormatting sqref="D16 D22 D24 D48 D56">
    <cfRule type="expression" dxfId="20" priority="17" stopIfTrue="1">
      <formula>F16+H16=0</formula>
    </cfRule>
  </conditionalFormatting>
  <conditionalFormatting sqref="E16 E22 E24 E48 E56">
    <cfRule type="expression" dxfId="19" priority="18" stopIfTrue="1">
      <formula>H16=0</formula>
    </cfRule>
  </conditionalFormatting>
  <conditionalFormatting sqref="E77:E80">
    <cfRule type="expression" dxfId="18" priority="19" stopIfTrue="1">
      <formula>$D$81=0</formula>
    </cfRule>
  </conditionalFormatting>
  <conditionalFormatting sqref="E38">
    <cfRule type="expression" dxfId="17" priority="20" stopIfTrue="1">
      <formula>$D$38=0</formula>
    </cfRule>
  </conditionalFormatting>
  <conditionalFormatting sqref="G38">
    <cfRule type="expression" dxfId="16" priority="21" stopIfTrue="1">
      <formula>$F$38=0</formula>
    </cfRule>
  </conditionalFormatting>
  <conditionalFormatting sqref="A1:B1 F59:I59 D39:F40 E91:H91 D72:F72 D82:F83 D27:F27 H27:I27 D90 F90">
    <cfRule type="cellIs" dxfId="15" priority="22" stopIfTrue="1" operator="equal">
      <formula>0</formula>
    </cfRule>
  </conditionalFormatting>
  <conditionalFormatting sqref="D58:E58 D71 D26:E26 D54:E54">
    <cfRule type="cellIs" dxfId="14" priority="23" stopIfTrue="1" operator="equal">
      <formula>0</formula>
    </cfRule>
  </conditionalFormatting>
  <conditionalFormatting sqref="D59:E59">
    <cfRule type="cellIs" dxfId="13" priority="24" stopIfTrue="1" operator="between">
      <formula>-0.001</formula>
      <formula>0.001</formula>
    </cfRule>
  </conditionalFormatting>
  <conditionalFormatting sqref="G27">
    <cfRule type="cellIs" dxfId="12" priority="25" stopIfTrue="1" operator="between">
      <formula>-0.00001</formula>
      <formula>0.00001</formula>
    </cfRule>
  </conditionalFormatting>
  <conditionalFormatting sqref="F59">
    <cfRule type="cellIs" dxfId="11" priority="12" stopIfTrue="1" operator="equal">
      <formula>0</formula>
    </cfRule>
  </conditionalFormatting>
  <conditionalFormatting sqref="G59">
    <cfRule type="cellIs" dxfId="10" priority="11" stopIfTrue="1" operator="equal">
      <formula>0</formula>
    </cfRule>
  </conditionalFormatting>
  <conditionalFormatting sqref="H59">
    <cfRule type="cellIs" dxfId="9" priority="10" stopIfTrue="1" operator="equal">
      <formula>0</formula>
    </cfRule>
  </conditionalFormatting>
  <conditionalFormatting sqref="I59">
    <cfRule type="cellIs" dxfId="8" priority="9" stopIfTrue="1" operator="equal">
      <formula>0</formula>
    </cfRule>
  </conditionalFormatting>
  <conditionalFormatting sqref="F59">
    <cfRule type="cellIs" dxfId="7" priority="8" stopIfTrue="1" operator="equal">
      <formula>0</formula>
    </cfRule>
  </conditionalFormatting>
  <conditionalFormatting sqref="G59">
    <cfRule type="cellIs" dxfId="6" priority="7" stopIfTrue="1" operator="equal">
      <formula>0</formula>
    </cfRule>
  </conditionalFormatting>
  <conditionalFormatting sqref="D49:D53 D55">
    <cfRule type="expression" dxfId="5" priority="6" stopIfTrue="1">
      <formula>F49+H49=0</formula>
    </cfRule>
  </conditionalFormatting>
  <conditionalFormatting sqref="E49:E53 E55">
    <cfRule type="expression" dxfId="4" priority="5" stopIfTrue="1">
      <formula>H49=0</formula>
    </cfRule>
  </conditionalFormatting>
  <conditionalFormatting sqref="D56 D48 D54">
    <cfRule type="expression" dxfId="3" priority="4" stopIfTrue="1">
      <formula>F48+H48=0</formula>
    </cfRule>
  </conditionalFormatting>
  <conditionalFormatting sqref="E48 E54 E56">
    <cfRule type="expression" dxfId="2" priority="3" stopIfTrue="1">
      <formula>H48=0</formula>
    </cfRule>
  </conditionalFormatting>
  <conditionalFormatting sqref="D58:E58">
    <cfRule type="cellIs" dxfId="1" priority="2" stopIfTrue="1" operator="equal">
      <formula>0</formula>
    </cfRule>
  </conditionalFormatting>
  <conditionalFormatting sqref="F59:G59">
    <cfRule type="cellIs" dxfId="0" priority="1" stopIfTrue="1" operator="equal">
      <formula>0</formula>
    </cfRule>
  </conditionalFormatting>
  <printOptions horizontalCentered="1"/>
  <pageMargins left="0.62992125984251968" right="0.6692913385826772" top="0.59055118110236227" bottom="0.59055118110236227" header="0.31496062992125984" footer="0.11811023622047245"/>
  <pageSetup paperSize="9" scale="60" orientation="portrait" r:id="rId1"/>
  <headerFooter alignWithMargins="0"/>
  <ignoredErrors>
    <ignoredError sqref="H23:I23 E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Orria2">
    <tabColor indexed="47"/>
  </sheetPr>
  <dimension ref="A1:V295"/>
  <sheetViews>
    <sheetView topLeftCell="A254" zoomScale="85" zoomScaleNormal="85" workbookViewId="0">
      <selection activeCell="V296" sqref="V296"/>
    </sheetView>
  </sheetViews>
  <sheetFormatPr defaultRowHeight="11.25" x14ac:dyDescent="0.2"/>
  <cols>
    <col min="1" max="1" width="13.7109375" style="2" customWidth="1"/>
    <col min="2" max="2" width="10.7109375" style="15" bestFit="1" customWidth="1"/>
    <col min="3" max="3" width="9.140625" style="2" customWidth="1"/>
    <col min="4" max="4" width="11.140625" style="8" bestFit="1" customWidth="1"/>
    <col min="5" max="5" width="7.42578125" style="2" bestFit="1" customWidth="1"/>
    <col min="6" max="6" width="11.28515625" style="2" customWidth="1"/>
    <col min="7" max="7" width="18.28515625" style="2" customWidth="1"/>
    <col min="8" max="8" width="7.42578125" style="2" customWidth="1"/>
    <col min="9" max="9" width="7" style="2" customWidth="1"/>
    <col min="10" max="10" width="17" style="2" bestFit="1" customWidth="1"/>
    <col min="11" max="11" width="10.7109375" style="15" bestFit="1" customWidth="1"/>
    <col min="12" max="12" width="9" style="15" bestFit="1" customWidth="1"/>
    <col min="13" max="13" width="13.5703125" style="15" bestFit="1" customWidth="1"/>
    <col min="14" max="14" width="10.28515625" style="15" bestFit="1" customWidth="1"/>
    <col min="15" max="15" width="10.85546875" style="10" bestFit="1" customWidth="1"/>
    <col min="16" max="16" width="6.5703125" style="10" customWidth="1"/>
    <col min="17" max="17" width="5.42578125" style="10" customWidth="1"/>
    <col min="18" max="18" width="6.7109375" style="10" customWidth="1"/>
    <col min="19" max="19" width="3.85546875" style="2" bestFit="1" customWidth="1"/>
    <col min="20" max="20" width="13" style="8" bestFit="1" customWidth="1"/>
    <col min="21" max="21" width="14.5703125" style="8" bestFit="1" customWidth="1"/>
    <col min="22" max="16384" width="9.140625" style="2"/>
  </cols>
  <sheetData>
    <row r="1" spans="1:22" x14ac:dyDescent="0.2">
      <c r="A1" s="3" t="s">
        <v>69</v>
      </c>
      <c r="B1" s="17"/>
      <c r="C1" s="4"/>
      <c r="D1" s="7"/>
      <c r="E1" s="4"/>
      <c r="F1" s="4"/>
      <c r="G1" s="4"/>
      <c r="H1" s="4"/>
      <c r="I1" s="4"/>
      <c r="J1" s="4"/>
    </row>
    <row r="2" spans="1:22" x14ac:dyDescent="0.2">
      <c r="A2" s="3"/>
      <c r="B2" s="17"/>
      <c r="C2" s="4"/>
      <c r="D2" s="7"/>
      <c r="E2" s="4"/>
      <c r="F2" s="4"/>
      <c r="G2" s="4"/>
      <c r="H2" s="4"/>
      <c r="I2" s="4"/>
      <c r="J2" s="4"/>
      <c r="M2" s="181"/>
      <c r="N2" s="181"/>
    </row>
    <row r="3" spans="1:22" x14ac:dyDescent="0.2">
      <c r="A3" s="3"/>
      <c r="B3" s="17"/>
      <c r="C3" s="4"/>
      <c r="D3" s="7"/>
      <c r="E3" s="4"/>
      <c r="F3" s="4"/>
      <c r="G3" s="4"/>
      <c r="H3" s="4"/>
      <c r="I3" s="4"/>
      <c r="J3" s="4"/>
    </row>
    <row r="4" spans="1:22" x14ac:dyDescent="0.2">
      <c r="A4" s="3"/>
      <c r="B4" s="17"/>
      <c r="C4" s="4"/>
      <c r="D4" s="7"/>
      <c r="E4" s="4"/>
      <c r="F4" s="4"/>
      <c r="G4" s="4"/>
      <c r="H4" s="4"/>
      <c r="I4" s="4"/>
      <c r="J4" s="4"/>
    </row>
    <row r="6" spans="1:22" ht="22.5" x14ac:dyDescent="0.2">
      <c r="A6" s="5" t="s">
        <v>70</v>
      </c>
      <c r="B6" s="18" t="s">
        <v>71</v>
      </c>
      <c r="C6" s="6" t="s">
        <v>72</v>
      </c>
      <c r="D6" s="9" t="s">
        <v>57</v>
      </c>
      <c r="E6" s="5" t="s">
        <v>73</v>
      </c>
      <c r="F6" s="6" t="s">
        <v>74</v>
      </c>
      <c r="G6" s="6" t="s">
        <v>75</v>
      </c>
      <c r="H6" s="6" t="s">
        <v>8</v>
      </c>
      <c r="I6" s="6" t="s">
        <v>9</v>
      </c>
      <c r="J6" s="6" t="s">
        <v>7</v>
      </c>
      <c r="K6" s="16" t="s">
        <v>76</v>
      </c>
      <c r="L6" s="16" t="s">
        <v>77</v>
      </c>
      <c r="M6" s="16" t="s">
        <v>78</v>
      </c>
      <c r="N6" s="16" t="s">
        <v>79</v>
      </c>
      <c r="O6" s="11" t="s">
        <v>80</v>
      </c>
      <c r="P6" s="12" t="s">
        <v>81</v>
      </c>
      <c r="Q6" s="13" t="s">
        <v>82</v>
      </c>
      <c r="R6" s="14" t="s">
        <v>56</v>
      </c>
      <c r="S6" s="2" t="s">
        <v>83</v>
      </c>
      <c r="T6" s="8" t="s">
        <v>84</v>
      </c>
      <c r="U6" s="8" t="s">
        <v>85</v>
      </c>
      <c r="V6" s="2" t="s">
        <v>86</v>
      </c>
    </row>
    <row r="7" spans="1:22" ht="15" x14ac:dyDescent="0.25">
      <c r="A7" s="182" t="s">
        <v>92</v>
      </c>
      <c r="B7" s="183">
        <v>44835</v>
      </c>
      <c r="C7" s="182" t="s">
        <v>93</v>
      </c>
      <c r="D7" s="184">
        <v>644.33000000000004</v>
      </c>
      <c r="E7" s="182" t="s">
        <v>94</v>
      </c>
      <c r="K7" s="2"/>
      <c r="L7" s="183">
        <v>44835</v>
      </c>
      <c r="N7" s="15">
        <f>+O7</f>
        <v>44835</v>
      </c>
      <c r="O7" s="183">
        <v>44835</v>
      </c>
      <c r="P7" s="10">
        <f>+L7-N7</f>
        <v>0</v>
      </c>
      <c r="Q7" s="10">
        <f>+N7-O7</f>
        <v>0</v>
      </c>
      <c r="R7" s="10">
        <f>+L7-O7</f>
        <v>0</v>
      </c>
      <c r="S7" s="10">
        <f>+R7-30</f>
        <v>-30</v>
      </c>
      <c r="T7" s="8">
        <f>+Q7*D7</f>
        <v>0</v>
      </c>
      <c r="U7" s="8">
        <f>+S7*D7</f>
        <v>-19329.900000000001</v>
      </c>
      <c r="V7" s="118">
        <f>IF(Q7&gt;30,200+E7,100+E7)</f>
        <v>120</v>
      </c>
    </row>
    <row r="8" spans="1:22" ht="15" x14ac:dyDescent="0.25">
      <c r="A8" s="182" t="s">
        <v>95</v>
      </c>
      <c r="B8" s="183">
        <v>44835</v>
      </c>
      <c r="C8" s="182" t="s">
        <v>96</v>
      </c>
      <c r="D8" s="184">
        <v>807.51</v>
      </c>
      <c r="E8" s="182" t="s">
        <v>94</v>
      </c>
      <c r="K8" s="2"/>
      <c r="L8" s="183">
        <v>44835</v>
      </c>
      <c r="N8" s="15">
        <f>+O8</f>
        <v>44838</v>
      </c>
      <c r="O8" s="183">
        <v>44838</v>
      </c>
      <c r="P8" s="10">
        <f>+L8-N8</f>
        <v>-3</v>
      </c>
      <c r="Q8" s="10">
        <f>+N8-O8</f>
        <v>0</v>
      </c>
      <c r="R8" s="10">
        <f>+L8-O8</f>
        <v>-3</v>
      </c>
      <c r="S8" s="10">
        <f>+R8-30</f>
        <v>-33</v>
      </c>
      <c r="T8" s="8">
        <f>+Q8*D8</f>
        <v>0</v>
      </c>
      <c r="U8" s="8">
        <f>+S8*D8</f>
        <v>-26647.829999999998</v>
      </c>
      <c r="V8" s="118">
        <f>IF(Q8&gt;30,200+E8,100+E8)</f>
        <v>120</v>
      </c>
    </row>
    <row r="9" spans="1:22" ht="15" x14ac:dyDescent="0.25">
      <c r="A9" s="182" t="s">
        <v>97</v>
      </c>
      <c r="B9" s="183">
        <v>44835</v>
      </c>
      <c r="C9" s="182" t="s">
        <v>98</v>
      </c>
      <c r="D9" s="184">
        <v>205.7</v>
      </c>
      <c r="E9" s="182" t="s">
        <v>94</v>
      </c>
      <c r="K9" s="2"/>
      <c r="L9" s="183">
        <v>44835</v>
      </c>
      <c r="N9" s="15">
        <f>+O9</f>
        <v>44840</v>
      </c>
      <c r="O9" s="183">
        <v>44840</v>
      </c>
      <c r="P9" s="10">
        <f>+L9-N9</f>
        <v>-5</v>
      </c>
      <c r="Q9" s="10">
        <f>+N9-O9</f>
        <v>0</v>
      </c>
      <c r="R9" s="10">
        <f>+L9-O9</f>
        <v>-5</v>
      </c>
      <c r="S9" s="10">
        <f>+R9-30</f>
        <v>-35</v>
      </c>
      <c r="T9" s="8">
        <f>+Q9*D9</f>
        <v>0</v>
      </c>
      <c r="U9" s="8">
        <f>+S9*D9</f>
        <v>-7199.5</v>
      </c>
      <c r="V9" s="118">
        <f>IF(Q9&gt;30,200+E9,100+E9)</f>
        <v>120</v>
      </c>
    </row>
    <row r="10" spans="1:22" ht="15" x14ac:dyDescent="0.25">
      <c r="A10" s="182" t="s">
        <v>99</v>
      </c>
      <c r="B10" s="183">
        <v>44835</v>
      </c>
      <c r="C10" s="182" t="s">
        <v>100</v>
      </c>
      <c r="D10" s="184">
        <v>61.41</v>
      </c>
      <c r="E10" s="182" t="s">
        <v>94</v>
      </c>
      <c r="K10" s="2"/>
      <c r="L10" s="183">
        <v>44835</v>
      </c>
      <c r="N10" s="15">
        <f>+O10</f>
        <v>44839</v>
      </c>
      <c r="O10" s="183">
        <v>44839</v>
      </c>
      <c r="P10" s="10">
        <f>+L10-N10</f>
        <v>-4</v>
      </c>
      <c r="Q10" s="10">
        <f>+N10-O10</f>
        <v>0</v>
      </c>
      <c r="R10" s="10">
        <f>+L10-O10</f>
        <v>-4</v>
      </c>
      <c r="S10" s="10">
        <f>+R10-30</f>
        <v>-34</v>
      </c>
      <c r="T10" s="8">
        <f>+Q10*D10</f>
        <v>0</v>
      </c>
      <c r="U10" s="8">
        <f>+S10*D10</f>
        <v>-2087.94</v>
      </c>
      <c r="V10" s="118">
        <f>IF(Q10&gt;30,200+E10,100+E10)</f>
        <v>120</v>
      </c>
    </row>
    <row r="11" spans="1:22" ht="15" x14ac:dyDescent="0.25">
      <c r="A11" s="182" t="s">
        <v>101</v>
      </c>
      <c r="B11" s="183">
        <v>44866</v>
      </c>
      <c r="C11" s="182" t="s">
        <v>102</v>
      </c>
      <c r="D11" s="184">
        <v>644.33000000000004</v>
      </c>
      <c r="E11" s="182" t="s">
        <v>94</v>
      </c>
      <c r="K11" s="2"/>
      <c r="L11" s="183">
        <v>44866</v>
      </c>
      <c r="N11" s="15">
        <f>+O11</f>
        <v>44866</v>
      </c>
      <c r="O11" s="183">
        <v>44866</v>
      </c>
      <c r="P11" s="10">
        <f>+L11-N11</f>
        <v>0</v>
      </c>
      <c r="Q11" s="10">
        <f>+N11-O11</f>
        <v>0</v>
      </c>
      <c r="R11" s="10">
        <f>+L11-O11</f>
        <v>0</v>
      </c>
      <c r="S11" s="10">
        <f>+R11-30</f>
        <v>-30</v>
      </c>
      <c r="T11" s="8">
        <f>+Q11*D11</f>
        <v>0</v>
      </c>
      <c r="U11" s="8">
        <f>+S11*D11</f>
        <v>-19329.900000000001</v>
      </c>
      <c r="V11" s="118">
        <f>IF(Q11&gt;30,200+E11,100+E11)</f>
        <v>120</v>
      </c>
    </row>
    <row r="12" spans="1:22" ht="15" x14ac:dyDescent="0.25">
      <c r="A12" s="182" t="s">
        <v>103</v>
      </c>
      <c r="B12" s="183">
        <v>44866</v>
      </c>
      <c r="C12" s="182" t="s">
        <v>104</v>
      </c>
      <c r="D12" s="184">
        <v>205.7</v>
      </c>
      <c r="E12" s="182" t="s">
        <v>94</v>
      </c>
      <c r="K12" s="2"/>
      <c r="L12" s="183">
        <v>44866</v>
      </c>
      <c r="N12" s="15">
        <f>+O12</f>
        <v>44869</v>
      </c>
      <c r="O12" s="183">
        <v>44869</v>
      </c>
      <c r="P12" s="10">
        <f>+L12-N12</f>
        <v>-3</v>
      </c>
      <c r="Q12" s="10">
        <f>+N12-O12</f>
        <v>0</v>
      </c>
      <c r="R12" s="10">
        <f>+L12-O12</f>
        <v>-3</v>
      </c>
      <c r="S12" s="10">
        <f>+R12-30</f>
        <v>-33</v>
      </c>
      <c r="T12" s="8">
        <f>+Q12*D12</f>
        <v>0</v>
      </c>
      <c r="U12" s="8">
        <f>+S12*D12</f>
        <v>-6788.0999999999995</v>
      </c>
      <c r="V12" s="118">
        <f>IF(Q12&gt;30,200+E12,100+E12)</f>
        <v>120</v>
      </c>
    </row>
    <row r="13" spans="1:22" ht="15" x14ac:dyDescent="0.25">
      <c r="A13" s="182" t="s">
        <v>105</v>
      </c>
      <c r="B13" s="183">
        <v>44866</v>
      </c>
      <c r="C13" s="182" t="s">
        <v>106</v>
      </c>
      <c r="D13" s="184">
        <v>61.41</v>
      </c>
      <c r="E13" s="182" t="s">
        <v>94</v>
      </c>
      <c r="K13" s="2"/>
      <c r="L13" s="183">
        <v>44866</v>
      </c>
      <c r="N13" s="15">
        <f>+O13</f>
        <v>44872</v>
      </c>
      <c r="O13" s="183">
        <v>44872</v>
      </c>
      <c r="P13" s="10">
        <f>+L13-N13</f>
        <v>-6</v>
      </c>
      <c r="Q13" s="10">
        <f>+N13-O13</f>
        <v>0</v>
      </c>
      <c r="R13" s="10">
        <f>+L13-O13</f>
        <v>-6</v>
      </c>
      <c r="S13" s="10">
        <f>+R13-30</f>
        <v>-36</v>
      </c>
      <c r="T13" s="8">
        <f>+Q13*D13</f>
        <v>0</v>
      </c>
      <c r="U13" s="8">
        <f>+S13*D13</f>
        <v>-2210.7599999999998</v>
      </c>
      <c r="V13" s="118">
        <f>IF(Q13&gt;30,200+E13,100+E13)</f>
        <v>120</v>
      </c>
    </row>
    <row r="14" spans="1:22" ht="15" x14ac:dyDescent="0.25">
      <c r="A14" s="182" t="s">
        <v>107</v>
      </c>
      <c r="B14" s="183">
        <v>44865</v>
      </c>
      <c r="C14" s="182" t="s">
        <v>108</v>
      </c>
      <c r="D14" s="184">
        <v>1411.34</v>
      </c>
      <c r="E14" s="182" t="s">
        <v>94</v>
      </c>
      <c r="K14" s="2"/>
      <c r="L14" s="183">
        <v>44865</v>
      </c>
      <c r="N14" s="15">
        <f>+O14</f>
        <v>44879</v>
      </c>
      <c r="O14" s="183">
        <v>44879</v>
      </c>
      <c r="P14" s="10">
        <f>+L14-N14</f>
        <v>-14</v>
      </c>
      <c r="Q14" s="10">
        <f>+N14-O14</f>
        <v>0</v>
      </c>
      <c r="R14" s="10">
        <f>+L14-O14</f>
        <v>-14</v>
      </c>
      <c r="S14" s="10">
        <f>+R14-30</f>
        <v>-44</v>
      </c>
      <c r="T14" s="8">
        <f>+Q14*D14</f>
        <v>0</v>
      </c>
      <c r="U14" s="8">
        <f>+S14*D14</f>
        <v>-62098.96</v>
      </c>
      <c r="V14" s="118">
        <f>IF(Q14&gt;30,200+E14,100+E14)</f>
        <v>120</v>
      </c>
    </row>
    <row r="15" spans="1:22" ht="15" x14ac:dyDescent="0.25">
      <c r="A15" s="182" t="s">
        <v>109</v>
      </c>
      <c r="B15" s="183">
        <v>44865</v>
      </c>
      <c r="C15" s="182" t="s">
        <v>110</v>
      </c>
      <c r="D15" s="184">
        <v>2749.18</v>
      </c>
      <c r="E15" s="182" t="s">
        <v>94</v>
      </c>
      <c r="K15" s="2"/>
      <c r="L15" s="183">
        <v>44865</v>
      </c>
      <c r="N15" s="15">
        <f>+O15</f>
        <v>44861</v>
      </c>
      <c r="O15" s="183">
        <v>44861</v>
      </c>
      <c r="P15" s="10">
        <f>+L15-N15</f>
        <v>4</v>
      </c>
      <c r="Q15" s="10">
        <f>+N15-O15</f>
        <v>0</v>
      </c>
      <c r="R15" s="10">
        <f>+L15-O15</f>
        <v>4</v>
      </c>
      <c r="S15" s="10">
        <f>+R15-30</f>
        <v>-26</v>
      </c>
      <c r="T15" s="8">
        <f>+Q15*D15</f>
        <v>0</v>
      </c>
      <c r="U15" s="8">
        <f>+S15*D15</f>
        <v>-71478.679999999993</v>
      </c>
      <c r="V15" s="118">
        <f>IF(Q15&gt;30,200+E15,100+E15)</f>
        <v>120</v>
      </c>
    </row>
    <row r="16" spans="1:22" ht="15" x14ac:dyDescent="0.25">
      <c r="A16" s="182" t="s">
        <v>111</v>
      </c>
      <c r="B16" s="183">
        <v>44861</v>
      </c>
      <c r="C16" s="182" t="s">
        <v>112</v>
      </c>
      <c r="D16" s="184">
        <v>44.64</v>
      </c>
      <c r="E16" s="182" t="s">
        <v>94</v>
      </c>
      <c r="K16" s="2"/>
      <c r="L16" s="183">
        <v>44861</v>
      </c>
      <c r="N16" s="15">
        <f>+O16</f>
        <v>44879</v>
      </c>
      <c r="O16" s="183">
        <v>44879</v>
      </c>
      <c r="P16" s="10">
        <f>+L16-N16</f>
        <v>-18</v>
      </c>
      <c r="Q16" s="10">
        <f>+N16-O16</f>
        <v>0</v>
      </c>
      <c r="R16" s="10">
        <f>+L16-O16</f>
        <v>-18</v>
      </c>
      <c r="S16" s="10">
        <f>+R16-30</f>
        <v>-48</v>
      </c>
      <c r="T16" s="8">
        <f>+Q16*D16</f>
        <v>0</v>
      </c>
      <c r="U16" s="8">
        <f>+S16*D16</f>
        <v>-2142.7200000000003</v>
      </c>
      <c r="V16" s="118">
        <f>IF(Q16&gt;30,200+E16,100+E16)</f>
        <v>120</v>
      </c>
    </row>
    <row r="17" spans="1:22" ht="15" x14ac:dyDescent="0.25">
      <c r="A17" s="182" t="s">
        <v>113</v>
      </c>
      <c r="B17" s="183">
        <v>44876</v>
      </c>
      <c r="C17" s="182" t="s">
        <v>114</v>
      </c>
      <c r="D17" s="184">
        <v>410.13</v>
      </c>
      <c r="E17" s="182" t="s">
        <v>94</v>
      </c>
      <c r="K17" s="2"/>
      <c r="L17" s="183">
        <v>44876</v>
      </c>
      <c r="N17" s="15">
        <f>+O17</f>
        <v>44894</v>
      </c>
      <c r="O17" s="183">
        <v>44894</v>
      </c>
      <c r="P17" s="10">
        <f>+L17-N17</f>
        <v>-18</v>
      </c>
      <c r="Q17" s="10">
        <f>+N17-O17</f>
        <v>0</v>
      </c>
      <c r="R17" s="10">
        <f>+L17-O17</f>
        <v>-18</v>
      </c>
      <c r="S17" s="10">
        <f>+R17-30</f>
        <v>-48</v>
      </c>
      <c r="T17" s="8">
        <f>+Q17*D17</f>
        <v>0</v>
      </c>
      <c r="U17" s="8">
        <f>+S17*D17</f>
        <v>-19686.239999999998</v>
      </c>
      <c r="V17" s="118">
        <f>IF(Q17&gt;30,200+E17,100+E17)</f>
        <v>120</v>
      </c>
    </row>
    <row r="18" spans="1:22" ht="15" x14ac:dyDescent="0.25">
      <c r="A18" s="182" t="s">
        <v>115</v>
      </c>
      <c r="B18" s="183">
        <v>44876</v>
      </c>
      <c r="C18" s="182" t="s">
        <v>116</v>
      </c>
      <c r="D18" s="184">
        <v>15.48</v>
      </c>
      <c r="E18" s="182" t="s">
        <v>94</v>
      </c>
      <c r="K18" s="2"/>
      <c r="L18" s="183">
        <v>44876</v>
      </c>
      <c r="N18" s="15">
        <f>+O18</f>
        <v>44894</v>
      </c>
      <c r="O18" s="183">
        <v>44894</v>
      </c>
      <c r="P18" s="10">
        <f>+L18-N18</f>
        <v>-18</v>
      </c>
      <c r="Q18" s="10">
        <f>+N18-O18</f>
        <v>0</v>
      </c>
      <c r="R18" s="10">
        <f>+L18-O18</f>
        <v>-18</v>
      </c>
      <c r="S18" s="10">
        <f>+R18-30</f>
        <v>-48</v>
      </c>
      <c r="T18" s="8">
        <f>+Q18*D18</f>
        <v>0</v>
      </c>
      <c r="U18" s="8">
        <f>+S18*D18</f>
        <v>-743.04</v>
      </c>
      <c r="V18" s="118">
        <f>IF(Q18&gt;30,200+E18,100+E18)</f>
        <v>120</v>
      </c>
    </row>
    <row r="19" spans="1:22" ht="15" x14ac:dyDescent="0.25">
      <c r="A19" s="182" t="s">
        <v>117</v>
      </c>
      <c r="B19" s="183">
        <v>44896</v>
      </c>
      <c r="C19" s="182" t="s">
        <v>118</v>
      </c>
      <c r="D19" s="184">
        <v>644.33000000000004</v>
      </c>
      <c r="E19" s="182" t="s">
        <v>94</v>
      </c>
      <c r="K19" s="2"/>
      <c r="L19" s="183">
        <v>44896</v>
      </c>
      <c r="N19" s="15">
        <f>+O19</f>
        <v>44896</v>
      </c>
      <c r="O19" s="183">
        <v>44896</v>
      </c>
      <c r="P19" s="10">
        <f>+L19-N19</f>
        <v>0</v>
      </c>
      <c r="Q19" s="10">
        <f>+N19-O19</f>
        <v>0</v>
      </c>
      <c r="R19" s="10">
        <f>+L19-O19</f>
        <v>0</v>
      </c>
      <c r="S19" s="10">
        <f>+R19-30</f>
        <v>-30</v>
      </c>
      <c r="T19" s="8">
        <f>+Q19*D19</f>
        <v>0</v>
      </c>
      <c r="U19" s="8">
        <f>+S19*D19</f>
        <v>-19329.900000000001</v>
      </c>
      <c r="V19" s="118">
        <f>IF(Q19&gt;30,200+E19,100+E19)</f>
        <v>120</v>
      </c>
    </row>
    <row r="20" spans="1:22" ht="15" x14ac:dyDescent="0.25">
      <c r="A20" s="182" t="s">
        <v>119</v>
      </c>
      <c r="B20" s="183">
        <v>44896</v>
      </c>
      <c r="C20" s="182" t="s">
        <v>120</v>
      </c>
      <c r="D20" s="184">
        <v>205.7</v>
      </c>
      <c r="E20" s="182" t="s">
        <v>94</v>
      </c>
      <c r="K20" s="2"/>
      <c r="L20" s="183">
        <v>44896</v>
      </c>
      <c r="N20" s="15">
        <f>+O20</f>
        <v>44902</v>
      </c>
      <c r="O20" s="183">
        <v>44902</v>
      </c>
      <c r="P20" s="10">
        <f>+L20-N20</f>
        <v>-6</v>
      </c>
      <c r="Q20" s="10">
        <f>+N20-O20</f>
        <v>0</v>
      </c>
      <c r="R20" s="10">
        <f>+L20-O20</f>
        <v>-6</v>
      </c>
      <c r="S20" s="10">
        <f>+R20-30</f>
        <v>-36</v>
      </c>
      <c r="T20" s="8">
        <f>+Q20*D20</f>
        <v>0</v>
      </c>
      <c r="U20" s="8">
        <f>+S20*D20</f>
        <v>-7405.2</v>
      </c>
      <c r="V20" s="118">
        <f>IF(Q20&gt;30,200+E20,100+E20)</f>
        <v>120</v>
      </c>
    </row>
    <row r="21" spans="1:22" ht="15" x14ac:dyDescent="0.25">
      <c r="A21" s="182" t="s">
        <v>121</v>
      </c>
      <c r="B21" s="183">
        <v>44866</v>
      </c>
      <c r="C21" s="182" t="s">
        <v>122</v>
      </c>
      <c r="D21" s="184">
        <v>807.51</v>
      </c>
      <c r="E21" s="182" t="s">
        <v>94</v>
      </c>
      <c r="K21" s="2"/>
      <c r="L21" s="183">
        <v>44866</v>
      </c>
      <c r="N21" s="15">
        <f>+O21</f>
        <v>44897</v>
      </c>
      <c r="O21" s="183">
        <v>44897</v>
      </c>
      <c r="P21" s="10">
        <f>+L21-N21</f>
        <v>-31</v>
      </c>
      <c r="Q21" s="10">
        <f>+N21-O21</f>
        <v>0</v>
      </c>
      <c r="R21" s="10">
        <f>+L21-O21</f>
        <v>-31</v>
      </c>
      <c r="S21" s="10">
        <f>+R21-30</f>
        <v>-61</v>
      </c>
      <c r="T21" s="8">
        <f>+Q21*D21</f>
        <v>0</v>
      </c>
      <c r="U21" s="8">
        <f>+S21*D21</f>
        <v>-49258.11</v>
      </c>
      <c r="V21" s="118">
        <f>IF(Q21&gt;30,200+E21,100+E21)</f>
        <v>120</v>
      </c>
    </row>
    <row r="22" spans="1:22" ht="15" x14ac:dyDescent="0.25">
      <c r="A22" s="182" t="s">
        <v>123</v>
      </c>
      <c r="B22" s="183">
        <v>44896</v>
      </c>
      <c r="C22" s="182" t="s">
        <v>124</v>
      </c>
      <c r="D22" s="184">
        <v>807.51</v>
      </c>
      <c r="E22" s="182" t="s">
        <v>94</v>
      </c>
      <c r="K22" s="2"/>
      <c r="L22" s="183">
        <v>44896</v>
      </c>
      <c r="N22" s="15">
        <f>+O22</f>
        <v>44907</v>
      </c>
      <c r="O22" s="183">
        <v>44907</v>
      </c>
      <c r="P22" s="10">
        <f>+L22-N22</f>
        <v>-11</v>
      </c>
      <c r="Q22" s="10">
        <f>+N22-O22</f>
        <v>0</v>
      </c>
      <c r="R22" s="10">
        <f>+L22-O22</f>
        <v>-11</v>
      </c>
      <c r="S22" s="10">
        <f>+R22-30</f>
        <v>-41</v>
      </c>
      <c r="T22" s="8">
        <f>+Q22*D22</f>
        <v>0</v>
      </c>
      <c r="U22" s="8">
        <f>+S22*D22</f>
        <v>-33107.909999999996</v>
      </c>
      <c r="V22" s="118">
        <f>IF(Q22&gt;30,200+E22,100+E22)</f>
        <v>120</v>
      </c>
    </row>
    <row r="23" spans="1:22" ht="15" x14ac:dyDescent="0.25">
      <c r="A23" s="182" t="s">
        <v>125</v>
      </c>
      <c r="B23" s="183">
        <v>44895</v>
      </c>
      <c r="C23" s="182" t="s">
        <v>126</v>
      </c>
      <c r="D23" s="184">
        <v>2749.18</v>
      </c>
      <c r="E23" s="182" t="s">
        <v>94</v>
      </c>
      <c r="K23" s="2"/>
      <c r="L23" s="183">
        <v>44895</v>
      </c>
      <c r="N23" s="15">
        <f>+O23</f>
        <v>44894</v>
      </c>
      <c r="O23" s="183">
        <v>44894</v>
      </c>
      <c r="P23" s="10">
        <f>+L23-N23</f>
        <v>1</v>
      </c>
      <c r="Q23" s="10">
        <f>+N23-O23</f>
        <v>0</v>
      </c>
      <c r="R23" s="10">
        <f>+L23-O23</f>
        <v>1</v>
      </c>
      <c r="S23" s="10">
        <f>+R23-30</f>
        <v>-29</v>
      </c>
      <c r="T23" s="8">
        <f>+Q23*D23</f>
        <v>0</v>
      </c>
      <c r="U23" s="8">
        <f>+S23*D23</f>
        <v>-79726.22</v>
      </c>
      <c r="V23" s="118">
        <f>IF(Q23&gt;30,200+E23,100+E23)</f>
        <v>120</v>
      </c>
    </row>
    <row r="24" spans="1:22" ht="15" x14ac:dyDescent="0.25">
      <c r="A24" s="182" t="s">
        <v>127</v>
      </c>
      <c r="B24" s="183">
        <v>44895</v>
      </c>
      <c r="C24" s="182" t="s">
        <v>128</v>
      </c>
      <c r="D24" s="184">
        <v>1411.34</v>
      </c>
      <c r="E24" s="182" t="s">
        <v>94</v>
      </c>
      <c r="K24" s="2"/>
      <c r="L24" s="183">
        <v>44895</v>
      </c>
      <c r="N24" s="15">
        <f>+O24</f>
        <v>44909</v>
      </c>
      <c r="O24" s="183">
        <v>44909</v>
      </c>
      <c r="P24" s="10">
        <f>+L24-N24</f>
        <v>-14</v>
      </c>
      <c r="Q24" s="10">
        <f>+N24-O24</f>
        <v>0</v>
      </c>
      <c r="R24" s="10">
        <f>+L24-O24</f>
        <v>-14</v>
      </c>
      <c r="S24" s="10">
        <f>+R24-30</f>
        <v>-44</v>
      </c>
      <c r="T24" s="8">
        <f>+Q24*D24</f>
        <v>0</v>
      </c>
      <c r="U24" s="8">
        <f>+S24*D24</f>
        <v>-62098.96</v>
      </c>
      <c r="V24" s="118">
        <f>IF(Q24&gt;30,200+E24,100+E24)</f>
        <v>120</v>
      </c>
    </row>
    <row r="25" spans="1:22" ht="15" x14ac:dyDescent="0.25">
      <c r="A25" s="182" t="s">
        <v>129</v>
      </c>
      <c r="B25" s="183">
        <v>44896</v>
      </c>
      <c r="C25" s="182" t="s">
        <v>130</v>
      </c>
      <c r="D25" s="184">
        <v>61.42</v>
      </c>
      <c r="E25" s="182" t="s">
        <v>94</v>
      </c>
      <c r="K25" s="2"/>
      <c r="L25" s="183">
        <v>44896</v>
      </c>
      <c r="N25" s="15">
        <f>+O25</f>
        <v>44900</v>
      </c>
      <c r="O25" s="183">
        <v>44900</v>
      </c>
      <c r="P25" s="10">
        <f>+L25-N25</f>
        <v>-4</v>
      </c>
      <c r="Q25" s="10">
        <f>+N25-O25</f>
        <v>0</v>
      </c>
      <c r="R25" s="10">
        <f>+L25-O25</f>
        <v>-4</v>
      </c>
      <c r="S25" s="10">
        <f>+R25-30</f>
        <v>-34</v>
      </c>
      <c r="T25" s="8">
        <f>+Q25*D25</f>
        <v>0</v>
      </c>
      <c r="U25" s="8">
        <f>+S25*D25</f>
        <v>-2088.2800000000002</v>
      </c>
      <c r="V25" s="118">
        <f>IF(Q25&gt;30,200+E25,100+E25)</f>
        <v>120</v>
      </c>
    </row>
    <row r="26" spans="1:22" ht="15" x14ac:dyDescent="0.25">
      <c r="A26" s="182" t="s">
        <v>131</v>
      </c>
      <c r="B26" s="183">
        <v>44915</v>
      </c>
      <c r="C26" s="182" t="s">
        <v>132</v>
      </c>
      <c r="D26" s="184">
        <v>98.8</v>
      </c>
      <c r="E26" s="182" t="s">
        <v>94</v>
      </c>
      <c r="K26" s="2"/>
      <c r="L26" s="183">
        <v>44915</v>
      </c>
      <c r="N26" s="15">
        <f>+O26</f>
        <v>44923</v>
      </c>
      <c r="O26" s="183">
        <v>44923</v>
      </c>
      <c r="P26" s="10">
        <f>+L26-N26</f>
        <v>-8</v>
      </c>
      <c r="Q26" s="10">
        <f>+N26-O26</f>
        <v>0</v>
      </c>
      <c r="R26" s="10">
        <f>+L26-O26</f>
        <v>-8</v>
      </c>
      <c r="S26" s="10">
        <f>+R26-30</f>
        <v>-38</v>
      </c>
      <c r="T26" s="8">
        <f>+Q26*D26</f>
        <v>0</v>
      </c>
      <c r="U26" s="8">
        <f>+S26*D26</f>
        <v>-3754.4</v>
      </c>
      <c r="V26" s="118">
        <f>IF(Q26&gt;30,200+E26,100+E26)</f>
        <v>120</v>
      </c>
    </row>
    <row r="27" spans="1:22" ht="15" x14ac:dyDescent="0.25">
      <c r="A27" s="182" t="s">
        <v>133</v>
      </c>
      <c r="B27" s="183">
        <v>44915</v>
      </c>
      <c r="C27" s="182" t="s">
        <v>134</v>
      </c>
      <c r="D27" s="184">
        <v>625.96</v>
      </c>
      <c r="E27" s="182" t="s">
        <v>94</v>
      </c>
      <c r="K27" s="2"/>
      <c r="L27" s="183">
        <v>44915</v>
      </c>
      <c r="N27" s="15">
        <f>+O27</f>
        <v>44923</v>
      </c>
      <c r="O27" s="183">
        <v>44923</v>
      </c>
      <c r="P27" s="10">
        <f>+L27-N27</f>
        <v>-8</v>
      </c>
      <c r="Q27" s="10">
        <f>+N27-O27</f>
        <v>0</v>
      </c>
      <c r="R27" s="10">
        <f>+L27-O27</f>
        <v>-8</v>
      </c>
      <c r="S27" s="10">
        <f>+R27-30</f>
        <v>-38</v>
      </c>
      <c r="T27" s="8">
        <f>+Q27*D27</f>
        <v>0</v>
      </c>
      <c r="U27" s="8">
        <f>+S27*D27</f>
        <v>-23786.480000000003</v>
      </c>
      <c r="V27" s="118">
        <f>IF(Q27&gt;30,200+E27,100+E27)</f>
        <v>120</v>
      </c>
    </row>
    <row r="28" spans="1:22" ht="15" x14ac:dyDescent="0.25">
      <c r="A28" s="182" t="s">
        <v>135</v>
      </c>
      <c r="B28" s="183">
        <v>44926</v>
      </c>
      <c r="C28" s="182" t="s">
        <v>136</v>
      </c>
      <c r="D28" s="184">
        <v>1626.97</v>
      </c>
      <c r="E28" s="182" t="s">
        <v>94</v>
      </c>
      <c r="K28" s="2"/>
      <c r="L28" s="183">
        <v>44926</v>
      </c>
      <c r="N28" s="15">
        <f>+O28</f>
        <v>44925</v>
      </c>
      <c r="O28" s="183">
        <v>44925</v>
      </c>
      <c r="P28" s="10">
        <f>+L28-N28</f>
        <v>1</v>
      </c>
      <c r="Q28" s="10">
        <f>+N28-O28</f>
        <v>0</v>
      </c>
      <c r="R28" s="10">
        <f>+L28-O28</f>
        <v>1</v>
      </c>
      <c r="S28" s="10">
        <f>+R28-30</f>
        <v>-29</v>
      </c>
      <c r="T28" s="8">
        <f>+Q28*D28</f>
        <v>0</v>
      </c>
      <c r="U28" s="8">
        <f>+S28*D28</f>
        <v>-47182.13</v>
      </c>
      <c r="V28" s="118">
        <f>IF(Q28&gt;30,200+E28,100+E28)</f>
        <v>120</v>
      </c>
    </row>
    <row r="29" spans="1:22" ht="15" x14ac:dyDescent="0.25">
      <c r="A29" s="182" t="s">
        <v>137</v>
      </c>
      <c r="B29" s="183">
        <v>44835</v>
      </c>
      <c r="C29" s="182" t="s">
        <v>138</v>
      </c>
      <c r="D29" s="184">
        <v>114.95</v>
      </c>
      <c r="E29" s="182" t="s">
        <v>139</v>
      </c>
      <c r="K29" s="2"/>
      <c r="L29" s="183">
        <v>44835</v>
      </c>
      <c r="N29" s="15">
        <f>+O29</f>
        <v>44860</v>
      </c>
      <c r="O29" s="183">
        <v>44860</v>
      </c>
      <c r="P29" s="10">
        <f>+L29-N29</f>
        <v>-25</v>
      </c>
      <c r="Q29" s="10">
        <f>+N29-O29</f>
        <v>0</v>
      </c>
      <c r="R29" s="10">
        <f>+L29-O29</f>
        <v>-25</v>
      </c>
      <c r="S29" s="10">
        <f>+R29-30</f>
        <v>-55</v>
      </c>
      <c r="T29" s="8">
        <f>+Q29*D29</f>
        <v>0</v>
      </c>
      <c r="U29" s="8">
        <f>+S29*D29</f>
        <v>-6322.25</v>
      </c>
      <c r="V29" s="118">
        <f>IF(Q29&gt;30,200+E29,100+E29)</f>
        <v>121</v>
      </c>
    </row>
    <row r="30" spans="1:22" ht="15" x14ac:dyDescent="0.25">
      <c r="A30" s="182" t="s">
        <v>140</v>
      </c>
      <c r="B30" s="183">
        <v>44837</v>
      </c>
      <c r="C30" s="182" t="s">
        <v>141</v>
      </c>
      <c r="D30" s="184">
        <v>722.78</v>
      </c>
      <c r="E30" s="182" t="s">
        <v>139</v>
      </c>
      <c r="K30" s="2"/>
      <c r="L30" s="183">
        <v>44837</v>
      </c>
      <c r="N30" s="15">
        <f>+O30</f>
        <v>44886</v>
      </c>
      <c r="O30" s="183">
        <v>44886</v>
      </c>
      <c r="P30" s="10">
        <f>+L30-N30</f>
        <v>-49</v>
      </c>
      <c r="Q30" s="10">
        <f>+N30-O30</f>
        <v>0</v>
      </c>
      <c r="R30" s="10">
        <f>+L30-O30</f>
        <v>-49</v>
      </c>
      <c r="S30" s="10">
        <f>+R30-30</f>
        <v>-79</v>
      </c>
      <c r="T30" s="8">
        <f>+Q30*D30</f>
        <v>0</v>
      </c>
      <c r="U30" s="8">
        <f>+S30*D30</f>
        <v>-57099.619999999995</v>
      </c>
      <c r="V30" s="118">
        <f>IF(Q30&gt;30,200+E30,100+E30)</f>
        <v>121</v>
      </c>
    </row>
    <row r="31" spans="1:22" ht="15" x14ac:dyDescent="0.25">
      <c r="A31" s="182" t="s">
        <v>142</v>
      </c>
      <c r="B31" s="183">
        <v>44853</v>
      </c>
      <c r="C31" s="182" t="s">
        <v>143</v>
      </c>
      <c r="D31" s="184">
        <v>53.72</v>
      </c>
      <c r="E31" s="182" t="s">
        <v>139</v>
      </c>
      <c r="K31" s="2"/>
      <c r="L31" s="183">
        <v>44853</v>
      </c>
      <c r="N31" s="15">
        <f>+O31</f>
        <v>44861</v>
      </c>
      <c r="O31" s="183">
        <v>44861</v>
      </c>
      <c r="P31" s="10">
        <f>+L31-N31</f>
        <v>-8</v>
      </c>
      <c r="Q31" s="10">
        <f>+N31-O31</f>
        <v>0</v>
      </c>
      <c r="R31" s="10">
        <f>+L31-O31</f>
        <v>-8</v>
      </c>
      <c r="S31" s="10">
        <f>+R31-30</f>
        <v>-38</v>
      </c>
      <c r="T31" s="8">
        <f>+Q31*D31</f>
        <v>0</v>
      </c>
      <c r="U31" s="8">
        <f>+S31*D31</f>
        <v>-2041.36</v>
      </c>
      <c r="V31" s="118">
        <f>IF(Q31&gt;30,200+E31,100+E31)</f>
        <v>121</v>
      </c>
    </row>
    <row r="32" spans="1:22" ht="15" x14ac:dyDescent="0.25">
      <c r="A32" s="182" t="s">
        <v>144</v>
      </c>
      <c r="B32" s="183">
        <v>44860</v>
      </c>
      <c r="C32" s="182" t="s">
        <v>145</v>
      </c>
      <c r="D32" s="184">
        <v>173.33</v>
      </c>
      <c r="E32" s="182" t="s">
        <v>139</v>
      </c>
      <c r="K32" s="2"/>
      <c r="L32" s="183">
        <v>44860</v>
      </c>
      <c r="N32" s="15">
        <f>+O32</f>
        <v>44861</v>
      </c>
      <c r="O32" s="183">
        <v>44861</v>
      </c>
      <c r="P32" s="10">
        <f>+L32-N32</f>
        <v>-1</v>
      </c>
      <c r="Q32" s="10">
        <f>+N32-O32</f>
        <v>0</v>
      </c>
      <c r="R32" s="10">
        <f>+L32-O32</f>
        <v>-1</v>
      </c>
      <c r="S32" s="10">
        <f>+R32-30</f>
        <v>-31</v>
      </c>
      <c r="T32" s="8">
        <f>+Q32*D32</f>
        <v>0</v>
      </c>
      <c r="U32" s="8">
        <f>+S32*D32</f>
        <v>-5373.2300000000005</v>
      </c>
      <c r="V32" s="118">
        <f>IF(Q32&gt;30,200+E32,100+E32)</f>
        <v>121</v>
      </c>
    </row>
    <row r="33" spans="1:22" ht="15" x14ac:dyDescent="0.25">
      <c r="A33" s="182" t="s">
        <v>146</v>
      </c>
      <c r="B33" s="183">
        <v>44866</v>
      </c>
      <c r="C33" s="182" t="s">
        <v>147</v>
      </c>
      <c r="D33" s="184">
        <v>114.95</v>
      </c>
      <c r="E33" s="182" t="s">
        <v>139</v>
      </c>
      <c r="K33" s="2"/>
      <c r="L33" s="183">
        <v>44866</v>
      </c>
      <c r="N33" s="15">
        <f>+O33</f>
        <v>44890</v>
      </c>
      <c r="O33" s="183">
        <v>44890</v>
      </c>
      <c r="P33" s="10">
        <f>+L33-N33</f>
        <v>-24</v>
      </c>
      <c r="Q33" s="10">
        <f>+N33-O33</f>
        <v>0</v>
      </c>
      <c r="R33" s="10">
        <f>+L33-O33</f>
        <v>-24</v>
      </c>
      <c r="S33" s="10">
        <f>+R33-30</f>
        <v>-54</v>
      </c>
      <c r="T33" s="8">
        <f>+Q33*D33</f>
        <v>0</v>
      </c>
      <c r="U33" s="8">
        <f>+S33*D33</f>
        <v>-6207.3</v>
      </c>
      <c r="V33" s="118">
        <f>IF(Q33&gt;30,200+E33,100+E33)</f>
        <v>121</v>
      </c>
    </row>
    <row r="34" spans="1:22" ht="15" x14ac:dyDescent="0.25">
      <c r="A34" s="182" t="s">
        <v>148</v>
      </c>
      <c r="B34" s="183">
        <v>44874</v>
      </c>
      <c r="C34" s="182" t="s">
        <v>149</v>
      </c>
      <c r="D34" s="184">
        <v>173.33</v>
      </c>
      <c r="E34" s="182" t="s">
        <v>139</v>
      </c>
      <c r="K34" s="2"/>
      <c r="L34" s="183">
        <v>44874</v>
      </c>
      <c r="N34" s="15">
        <f>+O34</f>
        <v>44874</v>
      </c>
      <c r="O34" s="185">
        <v>44874</v>
      </c>
      <c r="P34" s="10">
        <f>+L34-N34</f>
        <v>0</v>
      </c>
      <c r="Q34" s="10">
        <f>+N34-O34</f>
        <v>0</v>
      </c>
      <c r="R34" s="10">
        <f>+L34-O34</f>
        <v>0</v>
      </c>
      <c r="S34" s="10">
        <f>+R34-30</f>
        <v>-30</v>
      </c>
      <c r="T34" s="8">
        <f>+Q34*D34</f>
        <v>0</v>
      </c>
      <c r="U34" s="8">
        <f>+S34*D34</f>
        <v>-5199.9000000000005</v>
      </c>
      <c r="V34" s="118">
        <f>IF(Q34&gt;30,200+E34,100+E34)</f>
        <v>121</v>
      </c>
    </row>
    <row r="35" spans="1:22" ht="15" x14ac:dyDescent="0.25">
      <c r="A35" s="182" t="s">
        <v>150</v>
      </c>
      <c r="B35" s="183">
        <v>44873</v>
      </c>
      <c r="C35" s="182" t="s">
        <v>151</v>
      </c>
      <c r="D35" s="184">
        <v>290.39999999999998</v>
      </c>
      <c r="E35" s="182" t="s">
        <v>139</v>
      </c>
      <c r="K35" s="2"/>
      <c r="L35" s="183">
        <v>44873</v>
      </c>
      <c r="N35" s="15">
        <f>+O35</f>
        <v>44879</v>
      </c>
      <c r="O35" s="183">
        <v>44879</v>
      </c>
      <c r="P35" s="10">
        <f>+L35-N35</f>
        <v>-6</v>
      </c>
      <c r="Q35" s="10">
        <f>+N35-O35</f>
        <v>0</v>
      </c>
      <c r="R35" s="10">
        <f>+L35-O35</f>
        <v>-6</v>
      </c>
      <c r="S35" s="10">
        <f>+R35-30</f>
        <v>-36</v>
      </c>
      <c r="T35" s="8">
        <f>+Q35*D35</f>
        <v>0</v>
      </c>
      <c r="U35" s="8">
        <f>+S35*D35</f>
        <v>-10454.4</v>
      </c>
      <c r="V35" s="118">
        <f>IF(Q35&gt;30,200+E35,100+E35)</f>
        <v>121</v>
      </c>
    </row>
    <row r="36" spans="1:22" ht="15" x14ac:dyDescent="0.25">
      <c r="A36" s="182" t="s">
        <v>152</v>
      </c>
      <c r="B36" s="183">
        <v>44865</v>
      </c>
      <c r="C36" s="182" t="s">
        <v>153</v>
      </c>
      <c r="D36" s="184">
        <v>217.8</v>
      </c>
      <c r="E36" s="182" t="s">
        <v>139</v>
      </c>
      <c r="K36" s="2"/>
      <c r="L36" s="183">
        <v>44865</v>
      </c>
      <c r="N36" s="15">
        <f>+O36</f>
        <v>44879</v>
      </c>
      <c r="O36" s="183">
        <v>44879</v>
      </c>
      <c r="P36" s="10">
        <f>+L36-N36</f>
        <v>-14</v>
      </c>
      <c r="Q36" s="10">
        <f>+N36-O36</f>
        <v>0</v>
      </c>
      <c r="R36" s="10">
        <f>+L36-O36</f>
        <v>-14</v>
      </c>
      <c r="S36" s="10">
        <f>+R36-30</f>
        <v>-44</v>
      </c>
      <c r="T36" s="8">
        <f>+Q36*D36</f>
        <v>0</v>
      </c>
      <c r="U36" s="8">
        <f>+S36*D36</f>
        <v>-9583.2000000000007</v>
      </c>
      <c r="V36" s="118">
        <f>IF(Q36&gt;30,200+E36,100+E36)</f>
        <v>121</v>
      </c>
    </row>
    <row r="37" spans="1:22" ht="15" x14ac:dyDescent="0.25">
      <c r="A37" s="182" t="s">
        <v>154</v>
      </c>
      <c r="B37" s="183">
        <v>44865</v>
      </c>
      <c r="C37" s="182" t="s">
        <v>155</v>
      </c>
      <c r="D37" s="184">
        <v>106.48</v>
      </c>
      <c r="E37" s="182" t="s">
        <v>139</v>
      </c>
      <c r="K37" s="2"/>
      <c r="L37" s="183">
        <v>44865</v>
      </c>
      <c r="N37" s="15">
        <f>+O37</f>
        <v>44879</v>
      </c>
      <c r="O37" s="183">
        <v>44879</v>
      </c>
      <c r="P37" s="10">
        <f>+L37-N37</f>
        <v>-14</v>
      </c>
      <c r="Q37" s="10">
        <f>+N37-O37</f>
        <v>0</v>
      </c>
      <c r="R37" s="10">
        <f>+L37-O37</f>
        <v>-14</v>
      </c>
      <c r="S37" s="10">
        <f>+R37-30</f>
        <v>-44</v>
      </c>
      <c r="T37" s="8">
        <f>+Q37*D37</f>
        <v>0</v>
      </c>
      <c r="U37" s="8">
        <f>+S37*D37</f>
        <v>-4685.12</v>
      </c>
      <c r="V37" s="118">
        <f>IF(Q37&gt;30,200+E37,100+E37)</f>
        <v>121</v>
      </c>
    </row>
    <row r="38" spans="1:22" ht="15" x14ac:dyDescent="0.25">
      <c r="A38" s="182" t="s">
        <v>156</v>
      </c>
      <c r="B38" s="183">
        <v>44860</v>
      </c>
      <c r="C38" s="182" t="s">
        <v>157</v>
      </c>
      <c r="D38" s="184">
        <v>790.46</v>
      </c>
      <c r="E38" s="182" t="s">
        <v>139</v>
      </c>
      <c r="K38" s="2"/>
      <c r="L38" s="183">
        <v>44858</v>
      </c>
      <c r="N38" s="15">
        <f>+O38</f>
        <v>44879</v>
      </c>
      <c r="O38" s="183">
        <v>44879</v>
      </c>
      <c r="P38" s="10">
        <f>+L38-N38</f>
        <v>-21</v>
      </c>
      <c r="Q38" s="10">
        <f>+N38-O38</f>
        <v>0</v>
      </c>
      <c r="R38" s="10">
        <f>+L38-O38</f>
        <v>-21</v>
      </c>
      <c r="S38" s="10">
        <f>+R38-30</f>
        <v>-51</v>
      </c>
      <c r="T38" s="8">
        <f>+Q38*D38</f>
        <v>0</v>
      </c>
      <c r="U38" s="8">
        <f>+S38*D38</f>
        <v>-40313.46</v>
      </c>
      <c r="V38" s="118">
        <f>IF(Q38&gt;30,200+E38,100+E38)</f>
        <v>121</v>
      </c>
    </row>
    <row r="39" spans="1:22" ht="15" x14ac:dyDescent="0.25">
      <c r="A39" s="182" t="s">
        <v>158</v>
      </c>
      <c r="B39" s="183">
        <v>44875</v>
      </c>
      <c r="C39" s="182" t="s">
        <v>159</v>
      </c>
      <c r="D39" s="184">
        <v>2550.6799999999998</v>
      </c>
      <c r="E39" s="182" t="s">
        <v>139</v>
      </c>
      <c r="K39" s="2"/>
      <c r="L39" s="183">
        <v>44875</v>
      </c>
      <c r="N39" s="15">
        <f>+O39</f>
        <v>44879</v>
      </c>
      <c r="O39" s="183">
        <v>44879</v>
      </c>
      <c r="P39" s="10">
        <f>+L39-N39</f>
        <v>-4</v>
      </c>
      <c r="Q39" s="10">
        <f>+N39-O39</f>
        <v>0</v>
      </c>
      <c r="R39" s="10">
        <f>+L39-O39</f>
        <v>-4</v>
      </c>
      <c r="S39" s="10">
        <f>+R39-30</f>
        <v>-34</v>
      </c>
      <c r="T39" s="8">
        <f>+Q39*D39</f>
        <v>0</v>
      </c>
      <c r="U39" s="8">
        <f>+S39*D39</f>
        <v>-86723.12</v>
      </c>
      <c r="V39" s="118">
        <f>IF(Q39&gt;30,200+E39,100+E39)</f>
        <v>121</v>
      </c>
    </row>
    <row r="40" spans="1:22" ht="15" x14ac:dyDescent="0.25">
      <c r="A40" s="182" t="s">
        <v>160</v>
      </c>
      <c r="B40" s="183">
        <v>44880</v>
      </c>
      <c r="C40" s="182" t="s">
        <v>161</v>
      </c>
      <c r="D40" s="184">
        <v>1563.32</v>
      </c>
      <c r="E40" s="182" t="s">
        <v>139</v>
      </c>
      <c r="K40" s="2"/>
      <c r="L40" s="183">
        <v>44880</v>
      </c>
      <c r="N40" s="15">
        <f>+O40</f>
        <v>44882</v>
      </c>
      <c r="O40" s="183">
        <v>44882</v>
      </c>
      <c r="P40" s="10">
        <f>+L40-N40</f>
        <v>-2</v>
      </c>
      <c r="Q40" s="10">
        <f>+N40-O40</f>
        <v>0</v>
      </c>
      <c r="R40" s="10">
        <f>+L40-O40</f>
        <v>-2</v>
      </c>
      <c r="S40" s="10">
        <f>+R40-30</f>
        <v>-32</v>
      </c>
      <c r="T40" s="8">
        <f>+Q40*D40</f>
        <v>0</v>
      </c>
      <c r="U40" s="8">
        <f>+S40*D40</f>
        <v>-50026.239999999998</v>
      </c>
      <c r="V40" s="118">
        <f>IF(Q40&gt;30,200+E40,100+E40)</f>
        <v>121</v>
      </c>
    </row>
    <row r="41" spans="1:22" ht="15" x14ac:dyDescent="0.25">
      <c r="A41" s="182" t="s">
        <v>162</v>
      </c>
      <c r="B41" s="183">
        <v>44881</v>
      </c>
      <c r="C41" s="182" t="s">
        <v>163</v>
      </c>
      <c r="D41" s="184">
        <v>691.61</v>
      </c>
      <c r="E41" s="182" t="s">
        <v>139</v>
      </c>
      <c r="K41" s="2"/>
      <c r="L41" s="183">
        <v>44881</v>
      </c>
      <c r="N41" s="15">
        <f>+O41</f>
        <v>44911</v>
      </c>
      <c r="O41" s="183">
        <v>44911</v>
      </c>
      <c r="P41" s="10">
        <f>+L41-N41</f>
        <v>-30</v>
      </c>
      <c r="Q41" s="10">
        <f>+N41-O41</f>
        <v>0</v>
      </c>
      <c r="R41" s="10">
        <f>+L41-O41</f>
        <v>-30</v>
      </c>
      <c r="S41" s="10">
        <f>+R41-30</f>
        <v>-60</v>
      </c>
      <c r="T41" s="8">
        <f>+Q41*D41</f>
        <v>0</v>
      </c>
      <c r="U41" s="8">
        <f>+S41*D41</f>
        <v>-41496.6</v>
      </c>
      <c r="V41" s="118">
        <f>IF(Q41&gt;30,200+E41,100+E41)</f>
        <v>121</v>
      </c>
    </row>
    <row r="42" spans="1:22" ht="15" x14ac:dyDescent="0.25">
      <c r="A42" s="182" t="s">
        <v>164</v>
      </c>
      <c r="B42" s="183">
        <v>44860</v>
      </c>
      <c r="C42" s="182" t="s">
        <v>165</v>
      </c>
      <c r="D42" s="184">
        <v>319.67</v>
      </c>
      <c r="E42" s="182" t="s">
        <v>139</v>
      </c>
      <c r="K42" s="2"/>
      <c r="L42" s="183">
        <v>44860</v>
      </c>
      <c r="N42" s="15">
        <f>+O42</f>
        <v>44895</v>
      </c>
      <c r="O42" s="183">
        <v>44895</v>
      </c>
      <c r="P42" s="10">
        <f>+L42-N42</f>
        <v>-35</v>
      </c>
      <c r="Q42" s="10">
        <f>+N42-O42</f>
        <v>0</v>
      </c>
      <c r="R42" s="10">
        <f>+L42-O42</f>
        <v>-35</v>
      </c>
      <c r="S42" s="10">
        <f>+R42-30</f>
        <v>-65</v>
      </c>
      <c r="T42" s="8">
        <f>+Q42*D42</f>
        <v>0</v>
      </c>
      <c r="U42" s="8">
        <f>+S42*D42</f>
        <v>-20778.55</v>
      </c>
      <c r="V42" s="118">
        <f>IF(Q42&gt;30,200+E42,100+E42)</f>
        <v>121</v>
      </c>
    </row>
    <row r="43" spans="1:22" ht="15" x14ac:dyDescent="0.25">
      <c r="A43" s="182" t="s">
        <v>166</v>
      </c>
      <c r="B43" s="183">
        <v>44879</v>
      </c>
      <c r="C43" s="182" t="s">
        <v>167</v>
      </c>
      <c r="D43" s="184">
        <v>138.52000000000001</v>
      </c>
      <c r="E43" s="182" t="s">
        <v>139</v>
      </c>
      <c r="K43" s="2"/>
      <c r="L43" s="183">
        <v>44879</v>
      </c>
      <c r="N43" s="15">
        <f>+O43</f>
        <v>44883</v>
      </c>
      <c r="O43" s="183">
        <v>44883</v>
      </c>
      <c r="P43" s="10">
        <f>+L43-N43</f>
        <v>-4</v>
      </c>
      <c r="Q43" s="10">
        <f>+N43-O43</f>
        <v>0</v>
      </c>
      <c r="R43" s="10">
        <f>+L43-O43</f>
        <v>-4</v>
      </c>
      <c r="S43" s="10">
        <f>+R43-30</f>
        <v>-34</v>
      </c>
      <c r="T43" s="8">
        <f>+Q43*D43</f>
        <v>0</v>
      </c>
      <c r="U43" s="8">
        <f>+S43*D43</f>
        <v>-4709.68</v>
      </c>
      <c r="V43" s="118">
        <f>IF(Q43&gt;30,200+E43,100+E43)</f>
        <v>121</v>
      </c>
    </row>
    <row r="44" spans="1:22" ht="15" x14ac:dyDescent="0.25">
      <c r="A44" s="182" t="s">
        <v>168</v>
      </c>
      <c r="B44" s="183">
        <v>44869</v>
      </c>
      <c r="C44" s="182" t="s">
        <v>169</v>
      </c>
      <c r="D44" s="184">
        <v>350.9</v>
      </c>
      <c r="E44" s="182" t="s">
        <v>139</v>
      </c>
      <c r="K44" s="2"/>
      <c r="L44" s="183">
        <v>44869</v>
      </c>
      <c r="N44" s="15">
        <f>+O44</f>
        <v>44894</v>
      </c>
      <c r="O44" s="183">
        <v>44894</v>
      </c>
      <c r="P44" s="10">
        <f>+L44-N44</f>
        <v>-25</v>
      </c>
      <c r="Q44" s="10">
        <f>+N44-O44</f>
        <v>0</v>
      </c>
      <c r="R44" s="10">
        <f>+L44-O44</f>
        <v>-25</v>
      </c>
      <c r="S44" s="10">
        <f>+R44-30</f>
        <v>-55</v>
      </c>
      <c r="T44" s="8">
        <f>+Q44*D44</f>
        <v>0</v>
      </c>
      <c r="U44" s="8">
        <f>+S44*D44</f>
        <v>-19299.5</v>
      </c>
      <c r="V44" s="118">
        <f>IF(Q44&gt;30,200+E44,100+E44)</f>
        <v>121</v>
      </c>
    </row>
    <row r="45" spans="1:22" ht="15" x14ac:dyDescent="0.25">
      <c r="A45" s="182" t="s">
        <v>170</v>
      </c>
      <c r="B45" s="183">
        <v>44873</v>
      </c>
      <c r="C45" s="182" t="s">
        <v>171</v>
      </c>
      <c r="D45" s="184">
        <v>217.8</v>
      </c>
      <c r="E45" s="182" t="s">
        <v>139</v>
      </c>
      <c r="K45" s="2"/>
      <c r="L45" s="183">
        <v>44873</v>
      </c>
      <c r="N45" s="15">
        <f>+O45</f>
        <v>44894</v>
      </c>
      <c r="O45" s="183">
        <v>44894</v>
      </c>
      <c r="P45" s="10">
        <f>+L45-N45</f>
        <v>-21</v>
      </c>
      <c r="Q45" s="10">
        <f>+N45-O45</f>
        <v>0</v>
      </c>
      <c r="R45" s="10">
        <f>+L45-O45</f>
        <v>-21</v>
      </c>
      <c r="S45" s="10">
        <f>+R45-30</f>
        <v>-51</v>
      </c>
      <c r="T45" s="8">
        <f>+Q45*D45</f>
        <v>0</v>
      </c>
      <c r="U45" s="8">
        <f>+S45*D45</f>
        <v>-11107.800000000001</v>
      </c>
      <c r="V45" s="118">
        <f>IF(Q45&gt;30,200+E45,100+E45)</f>
        <v>121</v>
      </c>
    </row>
    <row r="46" spans="1:22" ht="15" x14ac:dyDescent="0.25">
      <c r="A46" s="182" t="s">
        <v>172</v>
      </c>
      <c r="B46" s="183">
        <v>44894</v>
      </c>
      <c r="C46" s="182" t="s">
        <v>173</v>
      </c>
      <c r="D46" s="184">
        <v>106.48</v>
      </c>
      <c r="E46" s="182" t="s">
        <v>139</v>
      </c>
      <c r="K46" s="2"/>
      <c r="L46" s="183">
        <v>44894</v>
      </c>
      <c r="N46" s="15">
        <f>+O46</f>
        <v>44909</v>
      </c>
      <c r="O46" s="183">
        <v>44909</v>
      </c>
      <c r="P46" s="10">
        <f>+L46-N46</f>
        <v>-15</v>
      </c>
      <c r="Q46" s="10">
        <f>+N46-O46</f>
        <v>0</v>
      </c>
      <c r="R46" s="10">
        <f>+L46-O46</f>
        <v>-15</v>
      </c>
      <c r="S46" s="10">
        <f>+R46-30</f>
        <v>-45</v>
      </c>
      <c r="T46" s="8">
        <f>+Q46*D46</f>
        <v>0</v>
      </c>
      <c r="U46" s="8">
        <f>+S46*D46</f>
        <v>-4791.6000000000004</v>
      </c>
      <c r="V46" s="118">
        <f>IF(Q46&gt;30,200+E46,100+E46)</f>
        <v>121</v>
      </c>
    </row>
    <row r="47" spans="1:22" ht="15" x14ac:dyDescent="0.25">
      <c r="A47" s="182" t="s">
        <v>174</v>
      </c>
      <c r="B47" s="183">
        <v>44893</v>
      </c>
      <c r="C47" s="182" t="s">
        <v>175</v>
      </c>
      <c r="D47" s="184">
        <v>151.25</v>
      </c>
      <c r="E47" s="182" t="s">
        <v>139</v>
      </c>
      <c r="K47" s="2"/>
      <c r="L47" s="183">
        <v>44893</v>
      </c>
      <c r="N47" s="15">
        <f>+O47</f>
        <v>44909</v>
      </c>
      <c r="O47" s="183">
        <v>44909</v>
      </c>
      <c r="P47" s="10">
        <f>+L47-N47</f>
        <v>-16</v>
      </c>
      <c r="Q47" s="10">
        <f>+N47-O47</f>
        <v>0</v>
      </c>
      <c r="R47" s="10">
        <f>+L47-O47</f>
        <v>-16</v>
      </c>
      <c r="S47" s="10">
        <f>+R47-30</f>
        <v>-46</v>
      </c>
      <c r="T47" s="8">
        <f>+Q47*D47</f>
        <v>0</v>
      </c>
      <c r="U47" s="8">
        <f>+S47*D47</f>
        <v>-6957.5</v>
      </c>
      <c r="V47" s="118">
        <f>IF(Q47&gt;30,200+E47,100+E47)</f>
        <v>121</v>
      </c>
    </row>
    <row r="48" spans="1:22" ht="15" x14ac:dyDescent="0.25">
      <c r="A48" s="182" t="s">
        <v>176</v>
      </c>
      <c r="B48" s="183">
        <v>44896</v>
      </c>
      <c r="C48" s="182" t="s">
        <v>177</v>
      </c>
      <c r="D48" s="184">
        <v>635.25</v>
      </c>
      <c r="E48" s="182" t="s">
        <v>139</v>
      </c>
      <c r="K48" s="2"/>
      <c r="L48" s="183">
        <v>44896</v>
      </c>
      <c r="N48" s="15">
        <f>+O48</f>
        <v>44928</v>
      </c>
      <c r="O48" s="183">
        <v>44928</v>
      </c>
      <c r="P48" s="10">
        <f>+L48-N48</f>
        <v>-32</v>
      </c>
      <c r="Q48" s="10">
        <f>+N48-O48</f>
        <v>0</v>
      </c>
      <c r="R48" s="10">
        <f>+L48-O48</f>
        <v>-32</v>
      </c>
      <c r="S48" s="10">
        <f>+R48-30</f>
        <v>-62</v>
      </c>
      <c r="T48" s="8">
        <f>+Q48*D48</f>
        <v>0</v>
      </c>
      <c r="U48" s="8">
        <f>+S48*D48</f>
        <v>-39385.5</v>
      </c>
      <c r="V48" s="118">
        <f>IF(Q48&gt;30,200+E48,100+E48)</f>
        <v>121</v>
      </c>
    </row>
    <row r="49" spans="1:22" ht="15" x14ac:dyDescent="0.25">
      <c r="A49" s="182" t="s">
        <v>178</v>
      </c>
      <c r="B49" s="183">
        <v>44896</v>
      </c>
      <c r="C49" s="182" t="s">
        <v>179</v>
      </c>
      <c r="D49" s="184">
        <v>114.95</v>
      </c>
      <c r="E49" s="182" t="s">
        <v>139</v>
      </c>
      <c r="K49" s="2"/>
      <c r="L49" s="183">
        <v>44896</v>
      </c>
      <c r="N49" s="15">
        <f>+O49</f>
        <v>44922</v>
      </c>
      <c r="O49" s="183">
        <v>44922</v>
      </c>
      <c r="P49" s="10">
        <f>+L49-N49</f>
        <v>-26</v>
      </c>
      <c r="Q49" s="10">
        <f>+N49-O49</f>
        <v>0</v>
      </c>
      <c r="R49" s="10">
        <f>+L49-O49</f>
        <v>-26</v>
      </c>
      <c r="S49" s="10">
        <f>+R49-30</f>
        <v>-56</v>
      </c>
      <c r="T49" s="8">
        <f>+Q49*D49</f>
        <v>0</v>
      </c>
      <c r="U49" s="8">
        <f>+S49*D49</f>
        <v>-6437.2</v>
      </c>
      <c r="V49" s="118">
        <f>IF(Q49&gt;30,200+E49,100+E49)</f>
        <v>121</v>
      </c>
    </row>
    <row r="50" spans="1:22" ht="15" x14ac:dyDescent="0.25">
      <c r="A50" s="182" t="s">
        <v>180</v>
      </c>
      <c r="B50" s="183">
        <v>44895</v>
      </c>
      <c r="C50" s="182" t="s">
        <v>181</v>
      </c>
      <c r="D50" s="184">
        <v>6623.54</v>
      </c>
      <c r="E50" s="182" t="s">
        <v>139</v>
      </c>
      <c r="K50" s="2"/>
      <c r="L50" s="183">
        <v>44895</v>
      </c>
      <c r="N50" s="15">
        <f>+O50</f>
        <v>44909</v>
      </c>
      <c r="O50" s="183">
        <v>44909</v>
      </c>
      <c r="P50" s="10">
        <f>+L50-N50</f>
        <v>-14</v>
      </c>
      <c r="Q50" s="10">
        <f>+N50-O50</f>
        <v>0</v>
      </c>
      <c r="R50" s="10">
        <f>+L50-O50</f>
        <v>-14</v>
      </c>
      <c r="S50" s="10">
        <f>+R50-30</f>
        <v>-44</v>
      </c>
      <c r="T50" s="8">
        <f>+Q50*D50</f>
        <v>0</v>
      </c>
      <c r="U50" s="8">
        <f>+S50*D50</f>
        <v>-291435.76</v>
      </c>
      <c r="V50" s="118">
        <f>IF(Q50&gt;30,200+E50,100+E50)</f>
        <v>121</v>
      </c>
    </row>
    <row r="51" spans="1:22" ht="15" x14ac:dyDescent="0.25">
      <c r="A51" s="182" t="s">
        <v>182</v>
      </c>
      <c r="B51" s="183">
        <v>44888</v>
      </c>
      <c r="C51" s="182" t="s">
        <v>183</v>
      </c>
      <c r="D51" s="184">
        <v>334.26</v>
      </c>
      <c r="E51" s="182" t="s">
        <v>139</v>
      </c>
      <c r="K51" s="2"/>
      <c r="L51" s="183">
        <v>44888</v>
      </c>
      <c r="N51" s="15">
        <f>+O51</f>
        <v>44922</v>
      </c>
      <c r="O51" s="183">
        <v>44922</v>
      </c>
      <c r="P51" s="10">
        <f>+L51-N51</f>
        <v>-34</v>
      </c>
      <c r="Q51" s="10">
        <f>+N51-O51</f>
        <v>0</v>
      </c>
      <c r="R51" s="10">
        <f>+L51-O51</f>
        <v>-34</v>
      </c>
      <c r="S51" s="10">
        <f>+R51-30</f>
        <v>-64</v>
      </c>
      <c r="T51" s="8">
        <f>+Q51*D51</f>
        <v>0</v>
      </c>
      <c r="U51" s="8">
        <f>+S51*D51</f>
        <v>-21392.639999999999</v>
      </c>
      <c r="V51" s="118">
        <f>IF(Q51&gt;30,200+E51,100+E51)</f>
        <v>121</v>
      </c>
    </row>
    <row r="52" spans="1:22" ht="15" x14ac:dyDescent="0.25">
      <c r="A52" s="182" t="s">
        <v>184</v>
      </c>
      <c r="B52" s="183">
        <v>44895</v>
      </c>
      <c r="C52" s="182" t="s">
        <v>185</v>
      </c>
      <c r="D52" s="184">
        <v>99.22</v>
      </c>
      <c r="E52" s="182" t="s">
        <v>139</v>
      </c>
      <c r="K52" s="2"/>
      <c r="L52" s="183">
        <v>44591</v>
      </c>
      <c r="N52" s="15">
        <f>+O52</f>
        <v>44909</v>
      </c>
      <c r="O52" s="183">
        <v>44909</v>
      </c>
      <c r="P52" s="10">
        <f>+L52-N52</f>
        <v>-318</v>
      </c>
      <c r="Q52" s="10">
        <f>+N52-O52</f>
        <v>0</v>
      </c>
      <c r="R52" s="10">
        <f>+L52-O52</f>
        <v>-318</v>
      </c>
      <c r="S52" s="10">
        <f>+R52-30</f>
        <v>-348</v>
      </c>
      <c r="T52" s="8">
        <f>+Q52*D52</f>
        <v>0</v>
      </c>
      <c r="U52" s="8">
        <f>+S52*D52</f>
        <v>-34528.559999999998</v>
      </c>
      <c r="V52" s="118">
        <f>IF(Q52&gt;30,200+E52,100+E52)</f>
        <v>121</v>
      </c>
    </row>
    <row r="53" spans="1:22" ht="15" x14ac:dyDescent="0.25">
      <c r="A53" s="182" t="s">
        <v>186</v>
      </c>
      <c r="B53" s="183">
        <v>44894</v>
      </c>
      <c r="C53" s="182" t="s">
        <v>187</v>
      </c>
      <c r="D53" s="184">
        <v>41.99</v>
      </c>
      <c r="E53" s="182" t="s">
        <v>139</v>
      </c>
      <c r="K53" s="2"/>
      <c r="L53" s="183">
        <v>44894</v>
      </c>
      <c r="N53" s="15">
        <f>+O53</f>
        <v>44909</v>
      </c>
      <c r="O53" s="183">
        <v>44909</v>
      </c>
      <c r="P53" s="10">
        <f>+L53-N53</f>
        <v>-15</v>
      </c>
      <c r="Q53" s="10">
        <f>+N53-O53</f>
        <v>0</v>
      </c>
      <c r="R53" s="10">
        <f>+L53-O53</f>
        <v>-15</v>
      </c>
      <c r="S53" s="10">
        <f>+R53-30</f>
        <v>-45</v>
      </c>
      <c r="T53" s="8">
        <f>+Q53*D53</f>
        <v>0</v>
      </c>
      <c r="U53" s="8">
        <f>+S53*D53</f>
        <v>-1889.5500000000002</v>
      </c>
      <c r="V53" s="118">
        <f>IF(Q53&gt;30,200+E53,100+E53)</f>
        <v>121</v>
      </c>
    </row>
    <row r="54" spans="1:22" ht="15" x14ac:dyDescent="0.25">
      <c r="A54" s="182" t="s">
        <v>188</v>
      </c>
      <c r="B54" s="183">
        <v>44896</v>
      </c>
      <c r="C54" s="182" t="s">
        <v>189</v>
      </c>
      <c r="D54" s="184">
        <v>47.04</v>
      </c>
      <c r="E54" s="182" t="s">
        <v>139</v>
      </c>
      <c r="K54" s="2"/>
      <c r="L54" s="183">
        <v>44896</v>
      </c>
      <c r="N54" s="15">
        <f>+O54</f>
        <v>44901</v>
      </c>
      <c r="O54" s="183">
        <v>44901</v>
      </c>
      <c r="P54" s="10">
        <f>+L54-N54</f>
        <v>-5</v>
      </c>
      <c r="Q54" s="10">
        <f>+N54-O54</f>
        <v>0</v>
      </c>
      <c r="R54" s="10">
        <f>+L54-O54</f>
        <v>-5</v>
      </c>
      <c r="S54" s="10">
        <f>+R54-30</f>
        <v>-35</v>
      </c>
      <c r="T54" s="8">
        <f>+Q54*D54</f>
        <v>0</v>
      </c>
      <c r="U54" s="8">
        <f>+S54*D54</f>
        <v>-1646.3999999999999</v>
      </c>
      <c r="V54" s="118">
        <f>IF(Q54&gt;30,200+E54,100+E54)</f>
        <v>121</v>
      </c>
    </row>
    <row r="55" spans="1:22" ht="15" x14ac:dyDescent="0.25">
      <c r="A55" s="182" t="s">
        <v>190</v>
      </c>
      <c r="B55" s="183">
        <v>44896</v>
      </c>
      <c r="C55" s="182" t="s">
        <v>191</v>
      </c>
      <c r="D55" s="184">
        <v>154.19999999999999</v>
      </c>
      <c r="E55" s="182" t="s">
        <v>139</v>
      </c>
      <c r="K55" s="2"/>
      <c r="L55" s="183">
        <v>44896</v>
      </c>
      <c r="N55" s="15">
        <f>+O55</f>
        <v>44901</v>
      </c>
      <c r="O55" s="183">
        <v>44901</v>
      </c>
      <c r="P55" s="10">
        <f>+L55-N55</f>
        <v>-5</v>
      </c>
      <c r="Q55" s="10">
        <f>+N55-O55</f>
        <v>0</v>
      </c>
      <c r="R55" s="10">
        <f>+L55-O55</f>
        <v>-5</v>
      </c>
      <c r="S55" s="10">
        <f>+R55-30</f>
        <v>-35</v>
      </c>
      <c r="T55" s="8">
        <f>+Q55*D55</f>
        <v>0</v>
      </c>
      <c r="U55" s="8">
        <f>+S55*D55</f>
        <v>-5397</v>
      </c>
      <c r="V55" s="118">
        <f>IF(Q55&gt;30,200+E55,100+E55)</f>
        <v>121</v>
      </c>
    </row>
    <row r="56" spans="1:22" ht="15" x14ac:dyDescent="0.25">
      <c r="A56" s="182" t="s">
        <v>192</v>
      </c>
      <c r="B56" s="183">
        <v>44921</v>
      </c>
      <c r="C56" s="182" t="s">
        <v>193</v>
      </c>
      <c r="D56" s="184">
        <v>173.33</v>
      </c>
      <c r="E56" s="182" t="s">
        <v>139</v>
      </c>
      <c r="K56" s="2"/>
      <c r="L56" s="183">
        <v>44921</v>
      </c>
      <c r="N56" s="15">
        <f>+O56</f>
        <v>44923</v>
      </c>
      <c r="O56" s="183">
        <v>44923</v>
      </c>
      <c r="P56" s="10">
        <f>+L56-N56</f>
        <v>-2</v>
      </c>
      <c r="Q56" s="10">
        <f>+N56-O56</f>
        <v>0</v>
      </c>
      <c r="R56" s="10">
        <f>+L56-O56</f>
        <v>-2</v>
      </c>
      <c r="S56" s="10">
        <f>+R56-30</f>
        <v>-32</v>
      </c>
      <c r="T56" s="8">
        <f>+Q56*D56</f>
        <v>0</v>
      </c>
      <c r="U56" s="8">
        <f>+S56*D56</f>
        <v>-5546.56</v>
      </c>
      <c r="V56" s="118">
        <f>IF(Q56&gt;30,200+E56,100+E56)</f>
        <v>121</v>
      </c>
    </row>
    <row r="57" spans="1:22" ht="15" x14ac:dyDescent="0.25">
      <c r="A57" s="182" t="s">
        <v>194</v>
      </c>
      <c r="B57" s="183">
        <v>44855</v>
      </c>
      <c r="C57" s="182" t="s">
        <v>195</v>
      </c>
      <c r="D57" s="184">
        <v>26.61</v>
      </c>
      <c r="E57" s="182" t="s">
        <v>139</v>
      </c>
      <c r="K57" s="2"/>
      <c r="L57" s="183">
        <v>44855</v>
      </c>
      <c r="N57" s="15">
        <f>+O57</f>
        <v>44860</v>
      </c>
      <c r="O57" s="183">
        <v>44860</v>
      </c>
      <c r="P57" s="10">
        <f>+L57-N57</f>
        <v>-5</v>
      </c>
      <c r="Q57" s="10">
        <f>+N57-O57</f>
        <v>0</v>
      </c>
      <c r="R57" s="10">
        <f>+L57-O57</f>
        <v>-5</v>
      </c>
      <c r="S57" s="10">
        <f>+R57-30</f>
        <v>-35</v>
      </c>
      <c r="T57" s="8">
        <f>+Q57*D57</f>
        <v>0</v>
      </c>
      <c r="U57" s="8">
        <f>+S57*D57</f>
        <v>-931.35</v>
      </c>
      <c r="V57" s="118">
        <f>IF(Q57&gt;30,200+E57,100+E57)</f>
        <v>121</v>
      </c>
    </row>
    <row r="58" spans="1:22" ht="15" x14ac:dyDescent="0.25">
      <c r="A58" s="182" t="s">
        <v>196</v>
      </c>
      <c r="B58" s="183">
        <v>44881</v>
      </c>
      <c r="C58" s="182" t="s">
        <v>197</v>
      </c>
      <c r="D58" s="184">
        <v>26.61</v>
      </c>
      <c r="E58" s="182" t="s">
        <v>139</v>
      </c>
      <c r="K58" s="2"/>
      <c r="L58" s="183">
        <v>44881</v>
      </c>
      <c r="N58" s="15">
        <f>+O58</f>
        <v>44886</v>
      </c>
      <c r="O58" s="183">
        <v>44886</v>
      </c>
      <c r="P58" s="10">
        <f>+L58-N58</f>
        <v>-5</v>
      </c>
      <c r="Q58" s="10">
        <f>+N58-O58</f>
        <v>0</v>
      </c>
      <c r="R58" s="10">
        <f>+L58-O58</f>
        <v>-5</v>
      </c>
      <c r="S58" s="10">
        <f>+R58-30</f>
        <v>-35</v>
      </c>
      <c r="T58" s="8">
        <f>+Q58*D58</f>
        <v>0</v>
      </c>
      <c r="U58" s="8">
        <f>+S58*D58</f>
        <v>-931.35</v>
      </c>
      <c r="V58" s="118">
        <f>IF(Q58&gt;30,200+E58,100+E58)</f>
        <v>121</v>
      </c>
    </row>
    <row r="59" spans="1:22" ht="15" x14ac:dyDescent="0.25">
      <c r="A59" s="182" t="s">
        <v>198</v>
      </c>
      <c r="B59" s="183">
        <v>44883</v>
      </c>
      <c r="C59" s="182" t="s">
        <v>199</v>
      </c>
      <c r="D59" s="184">
        <v>50.8</v>
      </c>
      <c r="E59" s="182" t="s">
        <v>139</v>
      </c>
      <c r="K59" s="2"/>
      <c r="L59" s="183">
        <v>44883</v>
      </c>
      <c r="N59" s="15">
        <f>+O59</f>
        <v>44888</v>
      </c>
      <c r="O59" s="183">
        <v>44888</v>
      </c>
      <c r="P59" s="10">
        <f>+L59-N59</f>
        <v>-5</v>
      </c>
      <c r="Q59" s="10">
        <f>+N59-O59</f>
        <v>0</v>
      </c>
      <c r="R59" s="10">
        <f>+L59-O59</f>
        <v>-5</v>
      </c>
      <c r="S59" s="10">
        <f>+R59-30</f>
        <v>-35</v>
      </c>
      <c r="T59" s="8">
        <f>+Q59*D59</f>
        <v>0</v>
      </c>
      <c r="U59" s="8">
        <f>+S59*D59</f>
        <v>-1778</v>
      </c>
      <c r="V59" s="118">
        <f>IF(Q59&gt;30,200+E59,100+E59)</f>
        <v>121</v>
      </c>
    </row>
    <row r="60" spans="1:22" ht="15" x14ac:dyDescent="0.25">
      <c r="A60" s="182" t="s">
        <v>200</v>
      </c>
      <c r="B60" s="183">
        <v>44890</v>
      </c>
      <c r="C60" s="182" t="s">
        <v>201</v>
      </c>
      <c r="D60" s="184">
        <v>27.82</v>
      </c>
      <c r="E60" s="182" t="s">
        <v>139</v>
      </c>
      <c r="K60" s="2"/>
      <c r="L60" s="183">
        <v>44890</v>
      </c>
      <c r="N60" s="15">
        <f>+O60</f>
        <v>44895</v>
      </c>
      <c r="O60" s="183">
        <v>44895</v>
      </c>
      <c r="P60" s="10">
        <f>+L60-N60</f>
        <v>-5</v>
      </c>
      <c r="Q60" s="10">
        <f>+N60-O60</f>
        <v>0</v>
      </c>
      <c r="R60" s="10">
        <f>+L60-O60</f>
        <v>-5</v>
      </c>
      <c r="S60" s="10">
        <f>+R60-30</f>
        <v>-35</v>
      </c>
      <c r="T60" s="8">
        <f>+Q60*D60</f>
        <v>0</v>
      </c>
      <c r="U60" s="8">
        <f>+S60*D60</f>
        <v>-973.7</v>
      </c>
      <c r="V60" s="118">
        <f>IF(Q60&gt;30,200+E60,100+E60)</f>
        <v>121</v>
      </c>
    </row>
    <row r="61" spans="1:22" ht="15" x14ac:dyDescent="0.25">
      <c r="A61" s="182" t="s">
        <v>202</v>
      </c>
      <c r="B61" s="183">
        <v>44882</v>
      </c>
      <c r="C61" s="182" t="s">
        <v>203</v>
      </c>
      <c r="D61" s="184">
        <v>43.77</v>
      </c>
      <c r="E61" s="182" t="s">
        <v>139</v>
      </c>
      <c r="K61" s="2"/>
      <c r="L61" s="183">
        <v>44882</v>
      </c>
      <c r="N61" s="15">
        <f>+O61</f>
        <v>44896</v>
      </c>
      <c r="O61" s="183">
        <v>44896</v>
      </c>
      <c r="P61" s="10">
        <f>+L61-N61</f>
        <v>-14</v>
      </c>
      <c r="Q61" s="10">
        <f>+N61-O61</f>
        <v>0</v>
      </c>
      <c r="R61" s="10">
        <f>+L61-O61</f>
        <v>-14</v>
      </c>
      <c r="S61" s="10">
        <f>+R61-30</f>
        <v>-44</v>
      </c>
      <c r="T61" s="8">
        <f>+Q61*D61</f>
        <v>0</v>
      </c>
      <c r="U61" s="8">
        <f>+S61*D61</f>
        <v>-1925.88</v>
      </c>
      <c r="V61" s="118">
        <f>IF(Q61&gt;30,200+E61,100+E61)</f>
        <v>121</v>
      </c>
    </row>
    <row r="62" spans="1:22" ht="15" x14ac:dyDescent="0.25">
      <c r="A62" s="182" t="s">
        <v>204</v>
      </c>
      <c r="B62" s="183">
        <v>44894</v>
      </c>
      <c r="C62" s="182" t="s">
        <v>205</v>
      </c>
      <c r="D62" s="184">
        <v>189.72</v>
      </c>
      <c r="E62" s="182" t="s">
        <v>139</v>
      </c>
      <c r="K62" s="2"/>
      <c r="L62" s="183">
        <v>44894</v>
      </c>
      <c r="N62" s="15">
        <f>+O62</f>
        <v>44896</v>
      </c>
      <c r="O62" s="183">
        <v>44896</v>
      </c>
      <c r="P62" s="10">
        <f>+L62-N62</f>
        <v>-2</v>
      </c>
      <c r="Q62" s="10">
        <f>+N62-O62</f>
        <v>0</v>
      </c>
      <c r="R62" s="10">
        <f>+L62-O62</f>
        <v>-2</v>
      </c>
      <c r="S62" s="10">
        <f>+R62-30</f>
        <v>-32</v>
      </c>
      <c r="T62" s="8">
        <f>+Q62*D62</f>
        <v>0</v>
      </c>
      <c r="U62" s="8">
        <f>+S62*D62</f>
        <v>-6071.04</v>
      </c>
      <c r="V62" s="118">
        <f>IF(Q62&gt;30,200+E62,100+E62)</f>
        <v>121</v>
      </c>
    </row>
    <row r="63" spans="1:22" ht="15" x14ac:dyDescent="0.25">
      <c r="A63" s="182" t="s">
        <v>206</v>
      </c>
      <c r="B63" s="183">
        <v>44911</v>
      </c>
      <c r="C63" s="182" t="s">
        <v>207</v>
      </c>
      <c r="D63" s="184">
        <v>94.86</v>
      </c>
      <c r="E63" s="182" t="s">
        <v>139</v>
      </c>
      <c r="K63" s="2"/>
      <c r="L63" s="183">
        <v>44911</v>
      </c>
      <c r="N63" s="15">
        <f>+O63</f>
        <v>44896</v>
      </c>
      <c r="O63" s="183">
        <v>44896</v>
      </c>
      <c r="P63" s="10">
        <f>+L63-N63</f>
        <v>15</v>
      </c>
      <c r="Q63" s="10">
        <f>+N63-O63</f>
        <v>0</v>
      </c>
      <c r="R63" s="10">
        <f>+L63-O63</f>
        <v>15</v>
      </c>
      <c r="S63" s="10">
        <f>+R63-30</f>
        <v>-15</v>
      </c>
      <c r="T63" s="8">
        <f>+Q63*D63</f>
        <v>0</v>
      </c>
      <c r="U63" s="8">
        <f>+S63*D63</f>
        <v>-1422.9</v>
      </c>
      <c r="V63" s="118">
        <f>IF(Q63&gt;30,200+E63,100+E63)</f>
        <v>121</v>
      </c>
    </row>
    <row r="64" spans="1:22" ht="15" x14ac:dyDescent="0.25">
      <c r="A64" s="182" t="s">
        <v>208</v>
      </c>
      <c r="B64" s="183">
        <v>44840</v>
      </c>
      <c r="C64" s="182" t="s">
        <v>209</v>
      </c>
      <c r="D64" s="184">
        <v>14.98</v>
      </c>
      <c r="E64" s="182" t="s">
        <v>210</v>
      </c>
      <c r="K64" s="2"/>
      <c r="L64" s="183">
        <v>44840</v>
      </c>
      <c r="N64" s="15">
        <f>+O64</f>
        <v>44853</v>
      </c>
      <c r="O64" s="183">
        <v>44853</v>
      </c>
      <c r="P64" s="10">
        <f>+L64-N64</f>
        <v>-13</v>
      </c>
      <c r="Q64" s="10">
        <f>+N64-O64</f>
        <v>0</v>
      </c>
      <c r="R64" s="10">
        <f>+L64-O64</f>
        <v>-13</v>
      </c>
      <c r="S64" s="10">
        <f>+R64-30</f>
        <v>-43</v>
      </c>
      <c r="T64" s="8">
        <f>+Q64*D64</f>
        <v>0</v>
      </c>
      <c r="U64" s="8">
        <f>+S64*D64</f>
        <v>-644.14</v>
      </c>
      <c r="V64" s="118">
        <f>IF(Q64&gt;30,200+E64,100+E64)</f>
        <v>122</v>
      </c>
    </row>
    <row r="65" spans="1:22" ht="15" x14ac:dyDescent="0.25">
      <c r="A65" s="182" t="s">
        <v>211</v>
      </c>
      <c r="B65" s="183">
        <v>44857</v>
      </c>
      <c r="C65" s="182" t="s">
        <v>212</v>
      </c>
      <c r="D65" s="184">
        <v>7.28</v>
      </c>
      <c r="E65" s="182" t="s">
        <v>210</v>
      </c>
      <c r="K65" s="2"/>
      <c r="L65" s="183">
        <v>44857</v>
      </c>
      <c r="N65" s="15">
        <f>+O65</f>
        <v>44861</v>
      </c>
      <c r="O65" s="183">
        <v>44861</v>
      </c>
      <c r="P65" s="10">
        <f>+L65-N65</f>
        <v>-4</v>
      </c>
      <c r="Q65" s="10">
        <f>+N65-O65</f>
        <v>0</v>
      </c>
      <c r="R65" s="10">
        <f>+L65-O65</f>
        <v>-4</v>
      </c>
      <c r="S65" s="10">
        <f>+R65-30</f>
        <v>-34</v>
      </c>
      <c r="T65" s="8">
        <f>+Q65*D65</f>
        <v>0</v>
      </c>
      <c r="U65" s="8">
        <f>+S65*D65</f>
        <v>-247.52</v>
      </c>
      <c r="V65" s="118">
        <f>IF(Q65&gt;30,200+E65,100+E65)</f>
        <v>122</v>
      </c>
    </row>
    <row r="66" spans="1:22" ht="15" x14ac:dyDescent="0.25">
      <c r="A66" s="182" t="s">
        <v>213</v>
      </c>
      <c r="B66" s="183">
        <v>44857</v>
      </c>
      <c r="C66" s="182" t="s">
        <v>214</v>
      </c>
      <c r="D66" s="184">
        <v>21.66</v>
      </c>
      <c r="E66" s="182" t="s">
        <v>210</v>
      </c>
      <c r="K66" s="2"/>
      <c r="L66" s="183">
        <v>44857</v>
      </c>
      <c r="N66" s="15">
        <f>+O66</f>
        <v>44861</v>
      </c>
      <c r="O66" s="183">
        <v>44861</v>
      </c>
      <c r="P66" s="10">
        <f>+L66-N66</f>
        <v>-4</v>
      </c>
      <c r="Q66" s="10">
        <f>+N66-O66</f>
        <v>0</v>
      </c>
      <c r="R66" s="10">
        <f>+L66-O66</f>
        <v>-4</v>
      </c>
      <c r="S66" s="10">
        <f>+R66-30</f>
        <v>-34</v>
      </c>
      <c r="T66" s="8">
        <f>+Q66*D66</f>
        <v>0</v>
      </c>
      <c r="U66" s="8">
        <f>+S66*D66</f>
        <v>-736.44</v>
      </c>
      <c r="V66" s="118">
        <f>IF(Q66&gt;30,200+E66,100+E66)</f>
        <v>122</v>
      </c>
    </row>
    <row r="67" spans="1:22" ht="15" x14ac:dyDescent="0.25">
      <c r="A67" s="182" t="s">
        <v>215</v>
      </c>
      <c r="B67" s="183">
        <v>44844</v>
      </c>
      <c r="C67" s="182" t="s">
        <v>216</v>
      </c>
      <c r="D67" s="184">
        <v>802.15</v>
      </c>
      <c r="E67" s="182" t="s">
        <v>210</v>
      </c>
      <c r="K67" s="2"/>
      <c r="L67" s="183">
        <v>44844</v>
      </c>
      <c r="N67" s="15">
        <f>+O67</f>
        <v>44874</v>
      </c>
      <c r="O67" s="183">
        <v>44874</v>
      </c>
      <c r="P67" s="10">
        <f>+L67-N67</f>
        <v>-30</v>
      </c>
      <c r="Q67" s="10">
        <f>+N67-O67</f>
        <v>0</v>
      </c>
      <c r="R67" s="10">
        <f>+L67-O67</f>
        <v>-30</v>
      </c>
      <c r="S67" s="10">
        <f>+R67-30</f>
        <v>-60</v>
      </c>
      <c r="T67" s="8">
        <f>+Q67*D67</f>
        <v>0</v>
      </c>
      <c r="U67" s="8">
        <f>+S67*D67</f>
        <v>-48129</v>
      </c>
      <c r="V67" s="118">
        <f>IF(Q67&gt;30,200+E67,100+E67)</f>
        <v>122</v>
      </c>
    </row>
    <row r="68" spans="1:22" ht="15" x14ac:dyDescent="0.25">
      <c r="A68" s="182" t="s">
        <v>217</v>
      </c>
      <c r="B68" s="183">
        <v>44854</v>
      </c>
      <c r="C68" s="182" t="s">
        <v>218</v>
      </c>
      <c r="D68" s="184">
        <v>12.2</v>
      </c>
      <c r="E68" s="182" t="s">
        <v>210</v>
      </c>
      <c r="K68" s="2"/>
      <c r="L68" s="183">
        <v>44854</v>
      </c>
      <c r="N68" s="15">
        <f>+O68</f>
        <v>44869</v>
      </c>
      <c r="O68" s="183">
        <v>44869</v>
      </c>
      <c r="P68" s="10">
        <f>+L68-N68</f>
        <v>-15</v>
      </c>
      <c r="Q68" s="10">
        <f>+N68-O68</f>
        <v>0</v>
      </c>
      <c r="R68" s="10">
        <f>+L68-O68</f>
        <v>-15</v>
      </c>
      <c r="S68" s="10">
        <f>+R68-30</f>
        <v>-45</v>
      </c>
      <c r="T68" s="8">
        <f>+Q68*D68</f>
        <v>0</v>
      </c>
      <c r="U68" s="8">
        <f>+S68*D68</f>
        <v>-549</v>
      </c>
      <c r="V68" s="118">
        <f>IF(Q68&gt;30,200+E68,100+E68)</f>
        <v>122</v>
      </c>
    </row>
    <row r="69" spans="1:22" ht="15" x14ac:dyDescent="0.25">
      <c r="A69" s="182" t="s">
        <v>219</v>
      </c>
      <c r="B69" s="183">
        <v>44865</v>
      </c>
      <c r="C69" s="182" t="s">
        <v>220</v>
      </c>
      <c r="D69" s="184">
        <v>94.48</v>
      </c>
      <c r="E69" s="182" t="s">
        <v>210</v>
      </c>
      <c r="K69" s="2"/>
      <c r="L69" s="183">
        <v>44865</v>
      </c>
      <c r="N69" s="15">
        <f>+O69</f>
        <v>44895</v>
      </c>
      <c r="O69" s="183">
        <v>44895</v>
      </c>
      <c r="P69" s="10">
        <f>+L69-N69</f>
        <v>-30</v>
      </c>
      <c r="Q69" s="10">
        <f>+N69-O69</f>
        <v>0</v>
      </c>
      <c r="R69" s="10">
        <f>+L69-O69</f>
        <v>-30</v>
      </c>
      <c r="S69" s="10">
        <f>+R69-30</f>
        <v>-60</v>
      </c>
      <c r="T69" s="8">
        <f>+Q69*D69</f>
        <v>0</v>
      </c>
      <c r="U69" s="8">
        <f>+S69*D69</f>
        <v>-5668.8</v>
      </c>
      <c r="V69" s="118">
        <f>IF(Q69&gt;30,200+E69,100+E69)</f>
        <v>122</v>
      </c>
    </row>
    <row r="70" spans="1:22" ht="15" x14ac:dyDescent="0.25">
      <c r="A70" s="182" t="s">
        <v>221</v>
      </c>
      <c r="B70" s="183">
        <v>44868</v>
      </c>
      <c r="C70" s="182" t="s">
        <v>222</v>
      </c>
      <c r="D70" s="184">
        <v>131.03</v>
      </c>
      <c r="E70" s="182" t="s">
        <v>210</v>
      </c>
      <c r="K70" s="2"/>
      <c r="L70" s="183">
        <v>44868</v>
      </c>
      <c r="N70" s="15">
        <f>+O70</f>
        <v>44876</v>
      </c>
      <c r="O70" s="183">
        <v>44876</v>
      </c>
      <c r="P70" s="10">
        <f>+L70-N70</f>
        <v>-8</v>
      </c>
      <c r="Q70" s="10">
        <f>+N70-O70</f>
        <v>0</v>
      </c>
      <c r="R70" s="10">
        <f>+L70-O70</f>
        <v>-8</v>
      </c>
      <c r="S70" s="10">
        <f>+R70-30</f>
        <v>-38</v>
      </c>
      <c r="T70" s="8">
        <f>+Q70*D70</f>
        <v>0</v>
      </c>
      <c r="U70" s="8">
        <f>+S70*D70</f>
        <v>-4979.1400000000003</v>
      </c>
      <c r="V70" s="118">
        <f>IF(Q70&gt;30,200+E70,100+E70)</f>
        <v>122</v>
      </c>
    </row>
    <row r="71" spans="1:22" ht="15" x14ac:dyDescent="0.25">
      <c r="A71" s="182" t="s">
        <v>223</v>
      </c>
      <c r="B71" s="183">
        <v>44865</v>
      </c>
      <c r="C71" s="182" t="s">
        <v>224</v>
      </c>
      <c r="D71" s="184">
        <v>54.56</v>
      </c>
      <c r="E71" s="182" t="s">
        <v>210</v>
      </c>
      <c r="K71" s="2"/>
      <c r="L71" s="183">
        <v>44865</v>
      </c>
      <c r="N71" s="15">
        <f>+O71</f>
        <v>44895</v>
      </c>
      <c r="O71" s="183">
        <v>44895</v>
      </c>
      <c r="P71" s="10">
        <f>+L71-N71</f>
        <v>-30</v>
      </c>
      <c r="Q71" s="10">
        <f>+N71-O71</f>
        <v>0</v>
      </c>
      <c r="R71" s="10">
        <f>+L71-O71</f>
        <v>-30</v>
      </c>
      <c r="S71" s="10">
        <f>+R71-30</f>
        <v>-60</v>
      </c>
      <c r="T71" s="8">
        <f>+Q71*D71</f>
        <v>0</v>
      </c>
      <c r="U71" s="8">
        <f>+S71*D71</f>
        <v>-3273.6000000000004</v>
      </c>
      <c r="V71" s="118">
        <f>IF(Q71&gt;30,200+E71,100+E71)</f>
        <v>122</v>
      </c>
    </row>
    <row r="72" spans="1:22" ht="15" x14ac:dyDescent="0.25">
      <c r="A72" s="182" t="s">
        <v>225</v>
      </c>
      <c r="B72" s="183">
        <v>44865</v>
      </c>
      <c r="C72" s="182" t="s">
        <v>226</v>
      </c>
      <c r="D72" s="184">
        <v>313.79000000000002</v>
      </c>
      <c r="E72" s="182" t="s">
        <v>210</v>
      </c>
      <c r="K72" s="2"/>
      <c r="L72" s="183">
        <v>44865</v>
      </c>
      <c r="N72" s="15">
        <f>+O72</f>
        <v>44895</v>
      </c>
      <c r="O72" s="183">
        <v>44895</v>
      </c>
      <c r="P72" s="10">
        <f>+L72-N72</f>
        <v>-30</v>
      </c>
      <c r="Q72" s="10">
        <f>+N72-O72</f>
        <v>0</v>
      </c>
      <c r="R72" s="10">
        <f>+L72-O72</f>
        <v>-30</v>
      </c>
      <c r="S72" s="10">
        <f>+R72-30</f>
        <v>-60</v>
      </c>
      <c r="T72" s="8">
        <f>+Q72*D72</f>
        <v>0</v>
      </c>
      <c r="U72" s="8">
        <f>+S72*D72</f>
        <v>-18827.400000000001</v>
      </c>
      <c r="V72" s="118">
        <f>IF(Q72&gt;30,200+E72,100+E72)</f>
        <v>122</v>
      </c>
    </row>
    <row r="73" spans="1:22" ht="15" x14ac:dyDescent="0.25">
      <c r="A73" s="182" t="s">
        <v>227</v>
      </c>
      <c r="B73" s="183">
        <v>44862</v>
      </c>
      <c r="C73" s="182" t="s">
        <v>228</v>
      </c>
      <c r="D73" s="184">
        <v>212.52</v>
      </c>
      <c r="E73" s="182" t="s">
        <v>210</v>
      </c>
      <c r="K73" s="2"/>
      <c r="L73" s="183">
        <v>44862</v>
      </c>
      <c r="N73" s="15">
        <f>+O73</f>
        <v>44879</v>
      </c>
      <c r="O73" s="183">
        <v>44879</v>
      </c>
      <c r="P73" s="10">
        <f>+L73-N73</f>
        <v>-17</v>
      </c>
      <c r="Q73" s="10">
        <f>+N73-O73</f>
        <v>0</v>
      </c>
      <c r="R73" s="10">
        <f>+L73-O73</f>
        <v>-17</v>
      </c>
      <c r="S73" s="10">
        <f>+R73-30</f>
        <v>-47</v>
      </c>
      <c r="T73" s="8">
        <f>+Q73*D73</f>
        <v>0</v>
      </c>
      <c r="U73" s="8">
        <f>+S73*D73</f>
        <v>-9988.44</v>
      </c>
      <c r="V73" s="118">
        <f>IF(Q73&gt;30,200+E73,100+E73)</f>
        <v>122</v>
      </c>
    </row>
    <row r="74" spans="1:22" ht="15" x14ac:dyDescent="0.25">
      <c r="A74" s="182" t="s">
        <v>229</v>
      </c>
      <c r="B74" s="183">
        <v>44859</v>
      </c>
      <c r="C74" s="182" t="s">
        <v>230</v>
      </c>
      <c r="D74" s="184">
        <v>711.4</v>
      </c>
      <c r="E74" s="182" t="s">
        <v>210</v>
      </c>
      <c r="K74" s="2"/>
      <c r="L74" s="183">
        <v>44859</v>
      </c>
      <c r="N74" s="15">
        <f>+O74</f>
        <v>44889</v>
      </c>
      <c r="O74" s="183">
        <v>44889</v>
      </c>
      <c r="P74" s="10">
        <f>+L74-N74</f>
        <v>-30</v>
      </c>
      <c r="Q74" s="10">
        <f>+N74-O74</f>
        <v>0</v>
      </c>
      <c r="R74" s="10">
        <f>+L74-O74</f>
        <v>-30</v>
      </c>
      <c r="S74" s="10">
        <f>+R74-30</f>
        <v>-60</v>
      </c>
      <c r="T74" s="8">
        <f>+Q74*D74</f>
        <v>0</v>
      </c>
      <c r="U74" s="8">
        <f>+S74*D74</f>
        <v>-42684</v>
      </c>
      <c r="V74" s="118">
        <f>IF(Q74&gt;30,200+E74,100+E74)</f>
        <v>122</v>
      </c>
    </row>
    <row r="75" spans="1:22" ht="15" x14ac:dyDescent="0.25">
      <c r="A75" s="182" t="s">
        <v>231</v>
      </c>
      <c r="B75" s="183">
        <v>44865</v>
      </c>
      <c r="C75" s="182" t="s">
        <v>232</v>
      </c>
      <c r="D75" s="184">
        <v>447.82</v>
      </c>
      <c r="E75" s="182" t="s">
        <v>210</v>
      </c>
      <c r="K75" s="2"/>
      <c r="L75" s="183">
        <v>44865</v>
      </c>
      <c r="N75" s="15">
        <f>+O75</f>
        <v>44890</v>
      </c>
      <c r="O75" s="183">
        <v>44890</v>
      </c>
      <c r="P75" s="10">
        <f>+L75-N75</f>
        <v>-25</v>
      </c>
      <c r="Q75" s="10">
        <f>+N75-O75</f>
        <v>0</v>
      </c>
      <c r="R75" s="10">
        <f>+L75-O75</f>
        <v>-25</v>
      </c>
      <c r="S75" s="10">
        <f>+R75-30</f>
        <v>-55</v>
      </c>
      <c r="T75" s="8">
        <f>+Q75*D75</f>
        <v>0</v>
      </c>
      <c r="U75" s="8">
        <f>+S75*D75</f>
        <v>-24630.1</v>
      </c>
      <c r="V75" s="118">
        <f>IF(Q75&gt;30,200+E75,100+E75)</f>
        <v>122</v>
      </c>
    </row>
    <row r="76" spans="1:22" ht="15" x14ac:dyDescent="0.25">
      <c r="A76" s="182" t="s">
        <v>233</v>
      </c>
      <c r="B76" s="183">
        <v>44867</v>
      </c>
      <c r="C76" s="182" t="s">
        <v>234</v>
      </c>
      <c r="D76" s="184">
        <v>125.43</v>
      </c>
      <c r="E76" s="182" t="s">
        <v>210</v>
      </c>
      <c r="K76" s="2"/>
      <c r="L76" s="183">
        <v>44867</v>
      </c>
      <c r="N76" s="15">
        <f>+O76</f>
        <v>44928</v>
      </c>
      <c r="O76" s="183">
        <v>44928</v>
      </c>
      <c r="P76" s="10">
        <f>+L76-N76</f>
        <v>-61</v>
      </c>
      <c r="Q76" s="10">
        <f>+N76-O76</f>
        <v>0</v>
      </c>
      <c r="R76" s="10">
        <f>+L76-O76</f>
        <v>-61</v>
      </c>
      <c r="S76" s="10">
        <f>+R76-30</f>
        <v>-91</v>
      </c>
      <c r="T76" s="8">
        <f>+Q76*D76</f>
        <v>0</v>
      </c>
      <c r="U76" s="8">
        <f>+S76*D76</f>
        <v>-11414.130000000001</v>
      </c>
      <c r="V76" s="118">
        <f>IF(Q76&gt;30,200+E76,100+E76)</f>
        <v>122</v>
      </c>
    </row>
    <row r="77" spans="1:22" ht="15" x14ac:dyDescent="0.25">
      <c r="A77" s="182" t="s">
        <v>235</v>
      </c>
      <c r="B77" s="183">
        <v>44869</v>
      </c>
      <c r="C77" s="182" t="s">
        <v>236</v>
      </c>
      <c r="D77" s="184">
        <v>8.3000000000000007</v>
      </c>
      <c r="E77" s="182" t="s">
        <v>210</v>
      </c>
      <c r="K77" s="2"/>
      <c r="L77" s="183">
        <v>44869</v>
      </c>
      <c r="N77" s="15">
        <f>+O77</f>
        <v>44882</v>
      </c>
      <c r="O77" s="183">
        <v>44882</v>
      </c>
      <c r="P77" s="10">
        <f>+L77-N77</f>
        <v>-13</v>
      </c>
      <c r="Q77" s="10">
        <f>+N77-O77</f>
        <v>0</v>
      </c>
      <c r="R77" s="10">
        <f>+L77-O77</f>
        <v>-13</v>
      </c>
      <c r="S77" s="10">
        <f>+R77-30</f>
        <v>-43</v>
      </c>
      <c r="T77" s="8">
        <f>+Q77*D77</f>
        <v>0</v>
      </c>
      <c r="U77" s="8">
        <f>+S77*D77</f>
        <v>-356.90000000000003</v>
      </c>
      <c r="V77" s="118">
        <f>IF(Q77&gt;30,200+E77,100+E77)</f>
        <v>122</v>
      </c>
    </row>
    <row r="78" spans="1:22" ht="15" x14ac:dyDescent="0.25">
      <c r="A78" s="182" t="s">
        <v>237</v>
      </c>
      <c r="B78" s="183">
        <v>44862</v>
      </c>
      <c r="C78" s="182" t="s">
        <v>238</v>
      </c>
      <c r="D78" s="184">
        <v>17.52</v>
      </c>
      <c r="E78" s="182" t="s">
        <v>210</v>
      </c>
      <c r="K78" s="2"/>
      <c r="L78" s="183">
        <v>44861</v>
      </c>
      <c r="N78" s="15">
        <f>+O78</f>
        <v>44869</v>
      </c>
      <c r="O78" s="183">
        <v>44869</v>
      </c>
      <c r="P78" s="10">
        <f>+L78-N78</f>
        <v>-8</v>
      </c>
      <c r="Q78" s="10">
        <f>+N78-O78</f>
        <v>0</v>
      </c>
      <c r="R78" s="10">
        <f>+L78-O78</f>
        <v>-8</v>
      </c>
      <c r="S78" s="10">
        <f>+R78-30</f>
        <v>-38</v>
      </c>
      <c r="T78" s="8">
        <f>+Q78*D78</f>
        <v>0</v>
      </c>
      <c r="U78" s="8">
        <f>+S78*D78</f>
        <v>-665.76</v>
      </c>
      <c r="V78" s="118">
        <f>IF(Q78&gt;30,200+E78,100+E78)</f>
        <v>122</v>
      </c>
    </row>
    <row r="79" spans="1:22" ht="15" x14ac:dyDescent="0.25">
      <c r="A79" s="182" t="s">
        <v>239</v>
      </c>
      <c r="B79" s="183">
        <v>44861</v>
      </c>
      <c r="C79" s="182" t="s">
        <v>240</v>
      </c>
      <c r="D79" s="184">
        <v>104.16</v>
      </c>
      <c r="E79" s="182" t="s">
        <v>210</v>
      </c>
      <c r="K79" s="2"/>
      <c r="L79" s="183">
        <v>44861</v>
      </c>
      <c r="N79" s="15">
        <f>+O79</f>
        <v>44879</v>
      </c>
      <c r="O79" s="183">
        <v>44879</v>
      </c>
      <c r="P79" s="10">
        <f>+L79-N79</f>
        <v>-18</v>
      </c>
      <c r="Q79" s="10">
        <f>+N79-O79</f>
        <v>0</v>
      </c>
      <c r="R79" s="10">
        <f>+L79-O79</f>
        <v>-18</v>
      </c>
      <c r="S79" s="10">
        <f>+R79-30</f>
        <v>-48</v>
      </c>
      <c r="T79" s="8">
        <f>+Q79*D79</f>
        <v>0</v>
      </c>
      <c r="U79" s="8">
        <f>+S79*D79</f>
        <v>-4999.68</v>
      </c>
      <c r="V79" s="118">
        <f>IF(Q79&gt;30,200+E79,100+E79)</f>
        <v>122</v>
      </c>
    </row>
    <row r="80" spans="1:22" ht="15" x14ac:dyDescent="0.25">
      <c r="A80" s="182" t="s">
        <v>241</v>
      </c>
      <c r="B80" s="183">
        <v>44877</v>
      </c>
      <c r="C80" s="182" t="s">
        <v>242</v>
      </c>
      <c r="D80" s="184">
        <v>93.9</v>
      </c>
      <c r="E80" s="182" t="s">
        <v>210</v>
      </c>
      <c r="K80" s="2"/>
      <c r="L80" s="183">
        <v>44877</v>
      </c>
      <c r="N80" s="15">
        <f>+O80</f>
        <v>44894</v>
      </c>
      <c r="O80" s="183">
        <v>44894</v>
      </c>
      <c r="P80" s="10">
        <f>+L80-N80</f>
        <v>-17</v>
      </c>
      <c r="Q80" s="10">
        <f>+N80-O80</f>
        <v>0</v>
      </c>
      <c r="R80" s="10">
        <f>+L80-O80</f>
        <v>-17</v>
      </c>
      <c r="S80" s="10">
        <f>+R80-30</f>
        <v>-47</v>
      </c>
      <c r="T80" s="8">
        <f>+Q80*D80</f>
        <v>0</v>
      </c>
      <c r="U80" s="8">
        <f>+S80*D80</f>
        <v>-4413.3</v>
      </c>
      <c r="V80" s="118">
        <f>IF(Q80&gt;30,200+E80,100+E80)</f>
        <v>122</v>
      </c>
    </row>
    <row r="81" spans="1:22" ht="15" x14ac:dyDescent="0.25">
      <c r="A81" s="182" t="s">
        <v>243</v>
      </c>
      <c r="B81" s="183">
        <v>44878</v>
      </c>
      <c r="C81" s="182" t="s">
        <v>244</v>
      </c>
      <c r="D81" s="184">
        <v>209.84</v>
      </c>
      <c r="E81" s="182" t="s">
        <v>210</v>
      </c>
      <c r="K81" s="2"/>
      <c r="L81" s="183">
        <v>44877</v>
      </c>
      <c r="N81" s="15">
        <f>+O81</f>
        <v>44894</v>
      </c>
      <c r="O81" s="183">
        <v>44894</v>
      </c>
      <c r="P81" s="10">
        <f>+L81-N81</f>
        <v>-17</v>
      </c>
      <c r="Q81" s="10">
        <f>+N81-O81</f>
        <v>0</v>
      </c>
      <c r="R81" s="10">
        <f>+L81-O81</f>
        <v>-17</v>
      </c>
      <c r="S81" s="10">
        <f>+R81-30</f>
        <v>-47</v>
      </c>
      <c r="T81" s="8">
        <f>+Q81*D81</f>
        <v>0</v>
      </c>
      <c r="U81" s="8">
        <f>+S81*D81</f>
        <v>-9862.48</v>
      </c>
      <c r="V81" s="118">
        <f>IF(Q81&gt;30,200+E81,100+E81)</f>
        <v>122</v>
      </c>
    </row>
    <row r="82" spans="1:22" ht="15" x14ac:dyDescent="0.25">
      <c r="A82" s="182" t="s">
        <v>245</v>
      </c>
      <c r="B82" s="183">
        <v>44880</v>
      </c>
      <c r="C82" s="182" t="s">
        <v>246</v>
      </c>
      <c r="D82" s="184">
        <v>139.32</v>
      </c>
      <c r="E82" s="182" t="s">
        <v>210</v>
      </c>
      <c r="K82" s="2"/>
      <c r="L82" s="183">
        <v>44880</v>
      </c>
      <c r="N82" s="15">
        <f>+O82</f>
        <v>44888</v>
      </c>
      <c r="O82" s="183">
        <v>44888</v>
      </c>
      <c r="P82" s="10">
        <f>+L82-N82</f>
        <v>-8</v>
      </c>
      <c r="Q82" s="10">
        <f>+N82-O82</f>
        <v>0</v>
      </c>
      <c r="R82" s="10">
        <f>+L82-O82</f>
        <v>-8</v>
      </c>
      <c r="S82" s="10">
        <f>+R82-30</f>
        <v>-38</v>
      </c>
      <c r="T82" s="8">
        <f>+Q82*D82</f>
        <v>0</v>
      </c>
      <c r="U82" s="8">
        <f>+S82*D82</f>
        <v>-5294.16</v>
      </c>
      <c r="V82" s="118">
        <f>IF(Q82&gt;30,200+E82,100+E82)</f>
        <v>122</v>
      </c>
    </row>
    <row r="83" spans="1:22" ht="15" x14ac:dyDescent="0.25">
      <c r="A83" s="182" t="s">
        <v>247</v>
      </c>
      <c r="B83" s="183">
        <v>44876</v>
      </c>
      <c r="C83" s="182" t="s">
        <v>248</v>
      </c>
      <c r="D83" s="184">
        <v>2657.4</v>
      </c>
      <c r="E83" s="182" t="s">
        <v>210</v>
      </c>
      <c r="K83" s="2"/>
      <c r="L83" s="183">
        <v>44876</v>
      </c>
      <c r="N83" s="15">
        <f>+O83</f>
        <v>44894</v>
      </c>
      <c r="O83" s="183">
        <v>44894</v>
      </c>
      <c r="P83" s="10">
        <f>+L83-N83</f>
        <v>-18</v>
      </c>
      <c r="Q83" s="10">
        <f>+N83-O83</f>
        <v>0</v>
      </c>
      <c r="R83" s="10">
        <f>+L83-O83</f>
        <v>-18</v>
      </c>
      <c r="S83" s="10">
        <f>+R83-30</f>
        <v>-48</v>
      </c>
      <c r="T83" s="8">
        <f>+Q83*D83</f>
        <v>0</v>
      </c>
      <c r="U83" s="8">
        <f>+S83*D83</f>
        <v>-127555.20000000001</v>
      </c>
      <c r="V83" s="118">
        <f>IF(Q83&gt;30,200+E83,100+E83)</f>
        <v>122</v>
      </c>
    </row>
    <row r="84" spans="1:22" ht="15" x14ac:dyDescent="0.25">
      <c r="A84" s="182" t="s">
        <v>249</v>
      </c>
      <c r="B84" s="183">
        <v>44882</v>
      </c>
      <c r="C84" s="182" t="s">
        <v>250</v>
      </c>
      <c r="D84" s="184">
        <v>86.53</v>
      </c>
      <c r="E84" s="182" t="s">
        <v>210</v>
      </c>
      <c r="K84" s="2"/>
      <c r="L84" s="183">
        <v>44882</v>
      </c>
      <c r="N84" s="15">
        <f>+O84</f>
        <v>44890</v>
      </c>
      <c r="O84" s="183">
        <v>44890</v>
      </c>
      <c r="P84" s="10">
        <f>+L84-N84</f>
        <v>-8</v>
      </c>
      <c r="Q84" s="10">
        <f>+N84-O84</f>
        <v>0</v>
      </c>
      <c r="R84" s="10">
        <f>+L84-O84</f>
        <v>-8</v>
      </c>
      <c r="S84" s="10">
        <f>+R84-30</f>
        <v>-38</v>
      </c>
      <c r="T84" s="8">
        <f>+Q84*D84</f>
        <v>0</v>
      </c>
      <c r="U84" s="8">
        <f>+S84*D84</f>
        <v>-3288.14</v>
      </c>
      <c r="V84" s="118">
        <f>IF(Q84&gt;30,200+E84,100+E84)</f>
        <v>122</v>
      </c>
    </row>
    <row r="85" spans="1:22" ht="15" x14ac:dyDescent="0.25">
      <c r="A85" s="182" t="s">
        <v>251</v>
      </c>
      <c r="B85" s="183">
        <v>44887</v>
      </c>
      <c r="C85" s="182" t="s">
        <v>252</v>
      </c>
      <c r="D85" s="184">
        <v>192.05</v>
      </c>
      <c r="E85" s="182" t="s">
        <v>210</v>
      </c>
      <c r="K85" s="2"/>
      <c r="L85" s="183">
        <v>44887</v>
      </c>
      <c r="N85" s="15">
        <f>+O85</f>
        <v>44894</v>
      </c>
      <c r="O85" s="183">
        <v>44894</v>
      </c>
      <c r="P85" s="10">
        <f>+L85-N85</f>
        <v>-7</v>
      </c>
      <c r="Q85" s="10">
        <f>+N85-O85</f>
        <v>0</v>
      </c>
      <c r="R85" s="10">
        <f>+L85-O85</f>
        <v>-7</v>
      </c>
      <c r="S85" s="10">
        <f>+R85-30</f>
        <v>-37</v>
      </c>
      <c r="T85" s="8">
        <f>+Q85*D85</f>
        <v>0</v>
      </c>
      <c r="U85" s="8">
        <f>+S85*D85</f>
        <v>-7105.85</v>
      </c>
      <c r="V85" s="118">
        <f>IF(Q85&gt;30,200+E85,100+E85)</f>
        <v>122</v>
      </c>
    </row>
    <row r="86" spans="1:22" ht="15" x14ac:dyDescent="0.25">
      <c r="A86" s="182" t="s">
        <v>253</v>
      </c>
      <c r="B86" s="183">
        <v>44889</v>
      </c>
      <c r="C86" s="182" t="s">
        <v>254</v>
      </c>
      <c r="D86" s="184">
        <v>1.55</v>
      </c>
      <c r="E86" s="182" t="s">
        <v>210</v>
      </c>
      <c r="K86" s="2"/>
      <c r="L86" s="183">
        <v>44889</v>
      </c>
      <c r="N86" s="15">
        <f>+O86</f>
        <v>44900</v>
      </c>
      <c r="O86" s="183">
        <v>44900</v>
      </c>
      <c r="P86" s="10">
        <f>+L86-N86</f>
        <v>-11</v>
      </c>
      <c r="Q86" s="10">
        <f>+N86-O86</f>
        <v>0</v>
      </c>
      <c r="R86" s="10">
        <f>+L86-O86</f>
        <v>-11</v>
      </c>
      <c r="S86" s="10">
        <f>+R86-30</f>
        <v>-41</v>
      </c>
      <c r="T86" s="8">
        <f>+Q86*D86</f>
        <v>0</v>
      </c>
      <c r="U86" s="8">
        <f>+S86*D86</f>
        <v>-63.550000000000004</v>
      </c>
      <c r="V86" s="118">
        <f>IF(Q86&gt;30,200+E86,100+E86)</f>
        <v>122</v>
      </c>
    </row>
    <row r="87" spans="1:22" ht="15" x14ac:dyDescent="0.25">
      <c r="A87" s="182" t="s">
        <v>255</v>
      </c>
      <c r="B87" s="183">
        <v>44889</v>
      </c>
      <c r="C87" s="182" t="s">
        <v>256</v>
      </c>
      <c r="D87" s="184">
        <v>11.87</v>
      </c>
      <c r="E87" s="182" t="s">
        <v>210</v>
      </c>
      <c r="K87" s="2"/>
      <c r="L87" s="183">
        <v>44889</v>
      </c>
      <c r="N87" s="15">
        <f>+O87</f>
        <v>44900</v>
      </c>
      <c r="O87" s="183">
        <v>44900</v>
      </c>
      <c r="P87" s="10">
        <f>+L87-N87</f>
        <v>-11</v>
      </c>
      <c r="Q87" s="10">
        <f>+N87-O87</f>
        <v>0</v>
      </c>
      <c r="R87" s="10">
        <f>+L87-O87</f>
        <v>-11</v>
      </c>
      <c r="S87" s="10">
        <f>+R87-30</f>
        <v>-41</v>
      </c>
      <c r="T87" s="8">
        <f>+Q87*D87</f>
        <v>0</v>
      </c>
      <c r="U87" s="8">
        <f>+S87*D87</f>
        <v>-486.66999999999996</v>
      </c>
      <c r="V87" s="118">
        <f>IF(Q87&gt;30,200+E87,100+E87)</f>
        <v>122</v>
      </c>
    </row>
    <row r="88" spans="1:22" ht="15" x14ac:dyDescent="0.25">
      <c r="A88" s="182" t="s">
        <v>257</v>
      </c>
      <c r="B88" s="183">
        <v>44895</v>
      </c>
      <c r="C88" s="182" t="s">
        <v>258</v>
      </c>
      <c r="D88" s="184">
        <v>124.15</v>
      </c>
      <c r="E88" s="182" t="s">
        <v>210</v>
      </c>
      <c r="K88" s="2"/>
      <c r="L88" s="183">
        <v>44895</v>
      </c>
      <c r="N88" s="15">
        <f>+O88</f>
        <v>44922</v>
      </c>
      <c r="O88" s="183">
        <v>44922</v>
      </c>
      <c r="P88" s="10">
        <f>+L88-N88</f>
        <v>-27</v>
      </c>
      <c r="Q88" s="10">
        <f>+N88-O88</f>
        <v>0</v>
      </c>
      <c r="R88" s="10">
        <f>+L88-O88</f>
        <v>-27</v>
      </c>
      <c r="S88" s="10">
        <f>+R88-30</f>
        <v>-57</v>
      </c>
      <c r="T88" s="8">
        <f>+Q88*D88</f>
        <v>0</v>
      </c>
      <c r="U88" s="8">
        <f>+S88*D88</f>
        <v>-7076.55</v>
      </c>
      <c r="V88" s="118">
        <f>IF(Q88&gt;30,200+E88,100+E88)</f>
        <v>122</v>
      </c>
    </row>
    <row r="89" spans="1:22" ht="15" x14ac:dyDescent="0.25">
      <c r="A89" s="182" t="s">
        <v>259</v>
      </c>
      <c r="B89" s="183">
        <v>44890</v>
      </c>
      <c r="C89" s="182" t="s">
        <v>260</v>
      </c>
      <c r="D89" s="184">
        <v>572.27</v>
      </c>
      <c r="E89" s="182" t="s">
        <v>210</v>
      </c>
      <c r="K89" s="2"/>
      <c r="L89" s="183">
        <v>44890</v>
      </c>
      <c r="N89" s="15">
        <f>+O89</f>
        <v>44922</v>
      </c>
      <c r="O89" s="183">
        <v>44922</v>
      </c>
      <c r="P89" s="10">
        <f>+L89-N89</f>
        <v>-32</v>
      </c>
      <c r="Q89" s="10">
        <f>+N89-O89</f>
        <v>0</v>
      </c>
      <c r="R89" s="10">
        <f>+L89-O89</f>
        <v>-32</v>
      </c>
      <c r="S89" s="10">
        <f>+R89-30</f>
        <v>-62</v>
      </c>
      <c r="T89" s="8">
        <f>+Q89*D89</f>
        <v>0</v>
      </c>
      <c r="U89" s="8">
        <f>+S89*D89</f>
        <v>-35480.74</v>
      </c>
      <c r="V89" s="118">
        <f>IF(Q89&gt;30,200+E89,100+E89)</f>
        <v>122</v>
      </c>
    </row>
    <row r="90" spans="1:22" ht="15" x14ac:dyDescent="0.25">
      <c r="A90" s="182" t="s">
        <v>261</v>
      </c>
      <c r="B90" s="183">
        <v>44875</v>
      </c>
      <c r="C90" s="182" t="s">
        <v>262</v>
      </c>
      <c r="D90" s="184">
        <v>332.45</v>
      </c>
      <c r="E90" s="182" t="s">
        <v>210</v>
      </c>
      <c r="K90" s="2"/>
      <c r="L90" s="183">
        <v>44875</v>
      </c>
      <c r="N90" s="15">
        <f>+O90</f>
        <v>44907</v>
      </c>
      <c r="O90" s="183">
        <v>44907</v>
      </c>
      <c r="P90" s="10">
        <f>+L90-N90</f>
        <v>-32</v>
      </c>
      <c r="Q90" s="10">
        <f>+N90-O90</f>
        <v>0</v>
      </c>
      <c r="R90" s="10">
        <f>+L90-O90</f>
        <v>-32</v>
      </c>
      <c r="S90" s="10">
        <f>+R90-30</f>
        <v>-62</v>
      </c>
      <c r="T90" s="8">
        <f>+Q90*D90</f>
        <v>0</v>
      </c>
      <c r="U90" s="8">
        <f>+S90*D90</f>
        <v>-20611.899999999998</v>
      </c>
      <c r="V90" s="118">
        <f>IF(Q90&gt;30,200+E90,100+E90)</f>
        <v>122</v>
      </c>
    </row>
    <row r="91" spans="1:22" ht="15" x14ac:dyDescent="0.25">
      <c r="A91" s="182" t="s">
        <v>263</v>
      </c>
      <c r="B91" s="183">
        <v>44907</v>
      </c>
      <c r="C91" s="182" t="s">
        <v>264</v>
      </c>
      <c r="D91" s="184">
        <v>524.29</v>
      </c>
      <c r="E91" s="182" t="s">
        <v>210</v>
      </c>
      <c r="K91" s="2"/>
      <c r="L91" s="183">
        <v>44907</v>
      </c>
      <c r="N91" s="15">
        <f>+O91</f>
        <v>44923</v>
      </c>
      <c r="O91" s="183">
        <v>44923</v>
      </c>
      <c r="P91" s="10">
        <f>+L91-N91</f>
        <v>-16</v>
      </c>
      <c r="Q91" s="10">
        <f>+N91-O91</f>
        <v>0</v>
      </c>
      <c r="R91" s="10">
        <f>+L91-O91</f>
        <v>-16</v>
      </c>
      <c r="S91" s="10">
        <f>+R91-30</f>
        <v>-46</v>
      </c>
      <c r="T91" s="8">
        <f>+Q91*D91</f>
        <v>0</v>
      </c>
      <c r="U91" s="8">
        <f>+S91*D91</f>
        <v>-24117.339999999997</v>
      </c>
      <c r="V91" s="118">
        <f>IF(Q91&gt;30,200+E91,100+E91)</f>
        <v>122</v>
      </c>
    </row>
    <row r="92" spans="1:22" ht="15" x14ac:dyDescent="0.25">
      <c r="A92" s="182" t="s">
        <v>265</v>
      </c>
      <c r="B92" s="183">
        <v>44896</v>
      </c>
      <c r="C92" s="182" t="s">
        <v>266</v>
      </c>
      <c r="D92" s="184">
        <v>5.28</v>
      </c>
      <c r="E92" s="182" t="s">
        <v>210</v>
      </c>
      <c r="K92" s="2"/>
      <c r="L92" s="183">
        <v>44896</v>
      </c>
      <c r="N92" s="15">
        <f>+O92</f>
        <v>44914</v>
      </c>
      <c r="O92" s="183">
        <v>44914</v>
      </c>
      <c r="P92" s="10">
        <f>+L92-N92</f>
        <v>-18</v>
      </c>
      <c r="Q92" s="10">
        <f>+N92-O92</f>
        <v>0</v>
      </c>
      <c r="R92" s="10">
        <f>+L92-O92</f>
        <v>-18</v>
      </c>
      <c r="S92" s="10">
        <f>+R92-30</f>
        <v>-48</v>
      </c>
      <c r="T92" s="8">
        <f>+Q92*D92</f>
        <v>0</v>
      </c>
      <c r="U92" s="8">
        <f>+S92*D92</f>
        <v>-253.44</v>
      </c>
      <c r="V92" s="118">
        <f>IF(Q92&gt;30,200+E92,100+E92)</f>
        <v>122</v>
      </c>
    </row>
    <row r="93" spans="1:22" ht="15" x14ac:dyDescent="0.25">
      <c r="A93" s="182" t="s">
        <v>267</v>
      </c>
      <c r="B93" s="183">
        <v>44910</v>
      </c>
      <c r="C93" s="182" t="s">
        <v>268</v>
      </c>
      <c r="D93" s="184">
        <v>13.18</v>
      </c>
      <c r="E93" s="182" t="s">
        <v>210</v>
      </c>
      <c r="K93" s="2"/>
      <c r="L93" s="183">
        <v>44910</v>
      </c>
      <c r="N93" s="15">
        <f>+O93</f>
        <v>44914</v>
      </c>
      <c r="O93" s="183">
        <v>44914</v>
      </c>
      <c r="P93" s="10">
        <f>+L93-N93</f>
        <v>-4</v>
      </c>
      <c r="Q93" s="10">
        <f>+N93-O93</f>
        <v>0</v>
      </c>
      <c r="R93" s="10">
        <f>+L93-O93</f>
        <v>-4</v>
      </c>
      <c r="S93" s="10">
        <f>+R93-30</f>
        <v>-34</v>
      </c>
      <c r="T93" s="8">
        <f>+Q93*D93</f>
        <v>0</v>
      </c>
      <c r="U93" s="8">
        <f>+S93*D93</f>
        <v>-448.12</v>
      </c>
      <c r="V93" s="118">
        <f>IF(Q93&gt;30,200+E93,100+E93)</f>
        <v>122</v>
      </c>
    </row>
    <row r="94" spans="1:22" ht="15" x14ac:dyDescent="0.25">
      <c r="A94" s="182" t="s">
        <v>269</v>
      </c>
      <c r="B94" s="183">
        <v>44894</v>
      </c>
      <c r="C94" s="182" t="s">
        <v>270</v>
      </c>
      <c r="D94" s="184">
        <v>311.20999999999998</v>
      </c>
      <c r="E94" s="182" t="s">
        <v>210</v>
      </c>
      <c r="K94" s="2"/>
      <c r="L94" s="183">
        <v>44894</v>
      </c>
      <c r="N94" s="15">
        <f>+O94</f>
        <v>44914</v>
      </c>
      <c r="O94" s="183">
        <v>44914</v>
      </c>
      <c r="P94" s="10">
        <f>+L94-N94</f>
        <v>-20</v>
      </c>
      <c r="Q94" s="10">
        <f>+N94-O94</f>
        <v>0</v>
      </c>
      <c r="R94" s="10">
        <f>+L94-O94</f>
        <v>-20</v>
      </c>
      <c r="S94" s="10">
        <f>+R94-30</f>
        <v>-50</v>
      </c>
      <c r="T94" s="8">
        <f>+Q94*D94</f>
        <v>0</v>
      </c>
      <c r="U94" s="8">
        <f>+S94*D94</f>
        <v>-15560.499999999998</v>
      </c>
      <c r="V94" s="118">
        <f>IF(Q94&gt;30,200+E94,100+E94)</f>
        <v>122</v>
      </c>
    </row>
    <row r="95" spans="1:22" ht="15" x14ac:dyDescent="0.25">
      <c r="A95" s="182" t="s">
        <v>271</v>
      </c>
      <c r="B95" s="183">
        <v>44894</v>
      </c>
      <c r="C95" s="182" t="s">
        <v>272</v>
      </c>
      <c r="D95" s="184">
        <v>412.28</v>
      </c>
      <c r="E95" s="182" t="s">
        <v>210</v>
      </c>
      <c r="K95" s="2"/>
      <c r="L95" s="183">
        <v>44894</v>
      </c>
      <c r="N95" s="15">
        <f>+O95</f>
        <v>44914</v>
      </c>
      <c r="O95" s="183">
        <v>44914</v>
      </c>
      <c r="P95" s="10">
        <f>+L95-N95</f>
        <v>-20</v>
      </c>
      <c r="Q95" s="10">
        <f>+N95-O95</f>
        <v>0</v>
      </c>
      <c r="R95" s="10">
        <f>+L95-O95</f>
        <v>-20</v>
      </c>
      <c r="S95" s="10">
        <f>+R95-30</f>
        <v>-50</v>
      </c>
      <c r="T95" s="8">
        <f>+Q95*D95</f>
        <v>0</v>
      </c>
      <c r="U95" s="8">
        <f>+S95*D95</f>
        <v>-20614</v>
      </c>
      <c r="V95" s="118">
        <f>IF(Q95&gt;30,200+E95,100+E95)</f>
        <v>122</v>
      </c>
    </row>
    <row r="96" spans="1:22" ht="15" x14ac:dyDescent="0.25">
      <c r="A96" s="182" t="s">
        <v>273</v>
      </c>
      <c r="B96" s="183">
        <v>44894</v>
      </c>
      <c r="C96" s="182" t="s">
        <v>274</v>
      </c>
      <c r="D96" s="184">
        <v>13.41</v>
      </c>
      <c r="E96" s="182" t="s">
        <v>210</v>
      </c>
      <c r="K96" s="2"/>
      <c r="L96" s="183">
        <v>44894</v>
      </c>
      <c r="N96" s="15">
        <f>+O96</f>
        <v>44914</v>
      </c>
      <c r="O96" s="183">
        <v>44914</v>
      </c>
      <c r="P96" s="10">
        <f>+L96-N96</f>
        <v>-20</v>
      </c>
      <c r="Q96" s="10">
        <f>+N96-O96</f>
        <v>0</v>
      </c>
      <c r="R96" s="10">
        <f>+L96-O96</f>
        <v>-20</v>
      </c>
      <c r="S96" s="10">
        <f>+R96-30</f>
        <v>-50</v>
      </c>
      <c r="T96" s="8">
        <f>+Q96*D96</f>
        <v>0</v>
      </c>
      <c r="U96" s="8">
        <f>+S96*D96</f>
        <v>-670.5</v>
      </c>
      <c r="V96" s="118">
        <f>IF(Q96&gt;30,200+E96,100+E96)</f>
        <v>122</v>
      </c>
    </row>
    <row r="97" spans="1:22" ht="15" x14ac:dyDescent="0.25">
      <c r="A97" s="182" t="s">
        <v>275</v>
      </c>
      <c r="B97" s="183">
        <v>44894</v>
      </c>
      <c r="C97" s="182" t="s">
        <v>276</v>
      </c>
      <c r="D97" s="184">
        <v>390.52</v>
      </c>
      <c r="E97" s="182" t="s">
        <v>210</v>
      </c>
      <c r="K97" s="2"/>
      <c r="L97" s="183">
        <v>44894</v>
      </c>
      <c r="N97" s="15">
        <f>+O97</f>
        <v>44914</v>
      </c>
      <c r="O97" s="183">
        <v>44914</v>
      </c>
      <c r="P97" s="10">
        <f>+L97-N97</f>
        <v>-20</v>
      </c>
      <c r="Q97" s="10">
        <f>+N97-O97</f>
        <v>0</v>
      </c>
      <c r="R97" s="10">
        <f>+L97-O97</f>
        <v>-20</v>
      </c>
      <c r="S97" s="10">
        <f>+R97-30</f>
        <v>-50</v>
      </c>
      <c r="T97" s="8">
        <f>+Q97*D97</f>
        <v>0</v>
      </c>
      <c r="U97" s="8">
        <f>+S97*D97</f>
        <v>-19526</v>
      </c>
      <c r="V97" s="118">
        <f>IF(Q97&gt;30,200+E97,100+E97)</f>
        <v>122</v>
      </c>
    </row>
    <row r="98" spans="1:22" ht="15" x14ac:dyDescent="0.25">
      <c r="A98" s="182" t="s">
        <v>277</v>
      </c>
      <c r="B98" s="183">
        <v>44894</v>
      </c>
      <c r="C98" s="182" t="s">
        <v>278</v>
      </c>
      <c r="D98" s="184">
        <v>673.9</v>
      </c>
      <c r="E98" s="182" t="s">
        <v>210</v>
      </c>
      <c r="K98" s="2"/>
      <c r="L98" s="183">
        <v>44894</v>
      </c>
      <c r="N98" s="15">
        <f>+O98</f>
        <v>44914</v>
      </c>
      <c r="O98" s="183">
        <v>44914</v>
      </c>
      <c r="P98" s="10">
        <f>+L98-N98</f>
        <v>-20</v>
      </c>
      <c r="Q98" s="10">
        <f>+N98-O98</f>
        <v>0</v>
      </c>
      <c r="R98" s="10">
        <f>+L98-O98</f>
        <v>-20</v>
      </c>
      <c r="S98" s="10">
        <f>+R98-30</f>
        <v>-50</v>
      </c>
      <c r="T98" s="8">
        <f>+Q98*D98</f>
        <v>0</v>
      </c>
      <c r="U98" s="8">
        <f>+S98*D98</f>
        <v>-33695</v>
      </c>
      <c r="V98" s="118">
        <f>IF(Q98&gt;30,200+E98,100+E98)</f>
        <v>122</v>
      </c>
    </row>
    <row r="99" spans="1:22" ht="15" x14ac:dyDescent="0.25">
      <c r="A99" s="182" t="s">
        <v>279</v>
      </c>
      <c r="B99" s="183">
        <v>44894</v>
      </c>
      <c r="C99" s="182" t="s">
        <v>280</v>
      </c>
      <c r="D99" s="184">
        <v>628.14</v>
      </c>
      <c r="E99" s="182" t="s">
        <v>210</v>
      </c>
      <c r="K99" s="2"/>
      <c r="L99" s="183">
        <v>44894</v>
      </c>
      <c r="N99" s="15">
        <f>+O99</f>
        <v>44914</v>
      </c>
      <c r="O99" s="183">
        <v>44914</v>
      </c>
      <c r="P99" s="10">
        <f>+L99-N99</f>
        <v>-20</v>
      </c>
      <c r="Q99" s="10">
        <f>+N99-O99</f>
        <v>0</v>
      </c>
      <c r="R99" s="10">
        <f>+L99-O99</f>
        <v>-20</v>
      </c>
      <c r="S99" s="10">
        <f>+R99-30</f>
        <v>-50</v>
      </c>
      <c r="T99" s="8">
        <f>+Q99*D99</f>
        <v>0</v>
      </c>
      <c r="U99" s="8">
        <f>+S99*D99</f>
        <v>-31407</v>
      </c>
      <c r="V99" s="118">
        <f>IF(Q99&gt;30,200+E99,100+E99)</f>
        <v>122</v>
      </c>
    </row>
    <row r="100" spans="1:22" ht="15" x14ac:dyDescent="0.25">
      <c r="A100" s="182" t="s">
        <v>281</v>
      </c>
      <c r="B100" s="183">
        <v>44894</v>
      </c>
      <c r="C100" s="182" t="s">
        <v>282</v>
      </c>
      <c r="D100" s="184">
        <v>54.13</v>
      </c>
      <c r="E100" s="182" t="s">
        <v>210</v>
      </c>
      <c r="K100" s="2"/>
      <c r="L100" s="183">
        <v>44894</v>
      </c>
      <c r="N100" s="15">
        <f>+O100</f>
        <v>44914</v>
      </c>
      <c r="O100" s="183">
        <v>44914</v>
      </c>
      <c r="P100" s="10">
        <f>+L100-N100</f>
        <v>-20</v>
      </c>
      <c r="Q100" s="10">
        <f>+N100-O100</f>
        <v>0</v>
      </c>
      <c r="R100" s="10">
        <f>+L100-O100</f>
        <v>-20</v>
      </c>
      <c r="S100" s="10">
        <f>+R100-30</f>
        <v>-50</v>
      </c>
      <c r="T100" s="8">
        <f>+Q100*D100</f>
        <v>0</v>
      </c>
      <c r="U100" s="8">
        <f>+S100*D100</f>
        <v>-2706.5</v>
      </c>
      <c r="V100" s="118">
        <f>IF(Q100&gt;30,200+E100,100+E100)</f>
        <v>122</v>
      </c>
    </row>
    <row r="101" spans="1:22" ht="15" x14ac:dyDescent="0.25">
      <c r="A101" s="182" t="s">
        <v>283</v>
      </c>
      <c r="B101" s="183">
        <v>44894</v>
      </c>
      <c r="C101" s="182" t="s">
        <v>284</v>
      </c>
      <c r="D101" s="184">
        <v>20.23</v>
      </c>
      <c r="E101" s="182" t="s">
        <v>210</v>
      </c>
      <c r="K101" s="2"/>
      <c r="L101" s="183">
        <v>44894</v>
      </c>
      <c r="N101" s="15">
        <f>+O101</f>
        <v>44914</v>
      </c>
      <c r="O101" s="183">
        <v>44914</v>
      </c>
      <c r="P101" s="10">
        <f>+L101-N101</f>
        <v>-20</v>
      </c>
      <c r="Q101" s="10">
        <f>+N101-O101</f>
        <v>0</v>
      </c>
      <c r="R101" s="10">
        <f>+L101-O101</f>
        <v>-20</v>
      </c>
      <c r="S101" s="10">
        <f>+R101-30</f>
        <v>-50</v>
      </c>
      <c r="T101" s="8">
        <f>+Q101*D101</f>
        <v>0</v>
      </c>
      <c r="U101" s="8">
        <f>+S101*D101</f>
        <v>-1011.5</v>
      </c>
      <c r="V101" s="118">
        <f>IF(Q101&gt;30,200+E101,100+E101)</f>
        <v>122</v>
      </c>
    </row>
    <row r="102" spans="1:22" ht="15" x14ac:dyDescent="0.25">
      <c r="A102" s="182" t="s">
        <v>285</v>
      </c>
      <c r="B102" s="183">
        <v>44894</v>
      </c>
      <c r="C102" s="182" t="s">
        <v>286</v>
      </c>
      <c r="D102" s="184">
        <v>31.65</v>
      </c>
      <c r="E102" s="182" t="s">
        <v>210</v>
      </c>
      <c r="K102" s="2"/>
      <c r="L102" s="183">
        <v>44894</v>
      </c>
      <c r="N102" s="15">
        <f>+O102</f>
        <v>44914</v>
      </c>
      <c r="O102" s="183">
        <v>44914</v>
      </c>
      <c r="P102" s="10">
        <f>+L102-N102</f>
        <v>-20</v>
      </c>
      <c r="Q102" s="10">
        <f>+N102-O102</f>
        <v>0</v>
      </c>
      <c r="R102" s="10">
        <f>+L102-O102</f>
        <v>-20</v>
      </c>
      <c r="S102" s="10">
        <f>+R102-30</f>
        <v>-50</v>
      </c>
      <c r="T102" s="8">
        <f>+Q102*D102</f>
        <v>0</v>
      </c>
      <c r="U102" s="8">
        <f>+S102*D102</f>
        <v>-1582.5</v>
      </c>
      <c r="V102" s="118">
        <f>IF(Q102&gt;30,200+E102,100+E102)</f>
        <v>122</v>
      </c>
    </row>
    <row r="103" spans="1:22" ht="15" x14ac:dyDescent="0.25">
      <c r="A103" s="182" t="s">
        <v>287</v>
      </c>
      <c r="B103" s="183">
        <v>44894</v>
      </c>
      <c r="C103" s="182" t="s">
        <v>288</v>
      </c>
      <c r="D103" s="184">
        <v>11.29</v>
      </c>
      <c r="E103" s="182" t="s">
        <v>210</v>
      </c>
      <c r="K103" s="2"/>
      <c r="L103" s="183">
        <v>44894</v>
      </c>
      <c r="N103" s="15">
        <f>+O103</f>
        <v>44914</v>
      </c>
      <c r="O103" s="183">
        <v>44914</v>
      </c>
      <c r="P103" s="10">
        <f>+L103-N103</f>
        <v>-20</v>
      </c>
      <c r="Q103" s="10">
        <f>+N103-O103</f>
        <v>0</v>
      </c>
      <c r="R103" s="10">
        <f>+L103-O103</f>
        <v>-20</v>
      </c>
      <c r="S103" s="10">
        <f>+R103-30</f>
        <v>-50</v>
      </c>
      <c r="T103" s="8">
        <f>+Q103*D103</f>
        <v>0</v>
      </c>
      <c r="U103" s="8">
        <f>+S103*D103</f>
        <v>-564.5</v>
      </c>
      <c r="V103" s="118">
        <f>IF(Q103&gt;30,200+E103,100+E103)</f>
        <v>122</v>
      </c>
    </row>
    <row r="104" spans="1:22" ht="15" x14ac:dyDescent="0.25">
      <c r="A104" s="182" t="s">
        <v>289</v>
      </c>
      <c r="B104" s="183">
        <v>44894</v>
      </c>
      <c r="C104" s="182" t="s">
        <v>290</v>
      </c>
      <c r="D104" s="184">
        <v>13.31</v>
      </c>
      <c r="E104" s="182" t="s">
        <v>210</v>
      </c>
      <c r="K104" s="2"/>
      <c r="L104" s="183">
        <v>44894</v>
      </c>
      <c r="N104" s="15">
        <f>+O104</f>
        <v>44914</v>
      </c>
      <c r="O104" s="183">
        <v>44914</v>
      </c>
      <c r="P104" s="10">
        <f>+L104-N104</f>
        <v>-20</v>
      </c>
      <c r="Q104" s="10">
        <f>+N104-O104</f>
        <v>0</v>
      </c>
      <c r="R104" s="10">
        <f>+L104-O104</f>
        <v>-20</v>
      </c>
      <c r="S104" s="10">
        <f>+R104-30</f>
        <v>-50</v>
      </c>
      <c r="T104" s="8">
        <f>+Q104*D104</f>
        <v>0</v>
      </c>
      <c r="U104" s="8">
        <f>+S104*D104</f>
        <v>-665.5</v>
      </c>
      <c r="V104" s="118">
        <f>IF(Q104&gt;30,200+E104,100+E104)</f>
        <v>122</v>
      </c>
    </row>
    <row r="105" spans="1:22" ht="15" x14ac:dyDescent="0.25">
      <c r="A105" s="182" t="s">
        <v>291</v>
      </c>
      <c r="B105" s="183">
        <v>44894</v>
      </c>
      <c r="C105" s="182" t="s">
        <v>292</v>
      </c>
      <c r="D105" s="184">
        <v>26.33</v>
      </c>
      <c r="E105" s="182" t="s">
        <v>210</v>
      </c>
      <c r="K105" s="2"/>
      <c r="L105" s="183">
        <v>44894</v>
      </c>
      <c r="N105" s="15">
        <f>+O105</f>
        <v>44914</v>
      </c>
      <c r="O105" s="183">
        <v>44914</v>
      </c>
      <c r="P105" s="10">
        <f>+L105-N105</f>
        <v>-20</v>
      </c>
      <c r="Q105" s="10">
        <f>+N105-O105</f>
        <v>0</v>
      </c>
      <c r="R105" s="10">
        <f>+L105-O105</f>
        <v>-20</v>
      </c>
      <c r="S105" s="10">
        <f>+R105-30</f>
        <v>-50</v>
      </c>
      <c r="T105" s="8">
        <f>+Q105*D105</f>
        <v>0</v>
      </c>
      <c r="U105" s="8">
        <f>+S105*D105</f>
        <v>-1316.5</v>
      </c>
      <c r="V105" s="118">
        <f>IF(Q105&gt;30,200+E105,100+E105)</f>
        <v>122</v>
      </c>
    </row>
    <row r="106" spans="1:22" ht="15" x14ac:dyDescent="0.25">
      <c r="A106" s="182" t="s">
        <v>293</v>
      </c>
      <c r="B106" s="183">
        <v>44894</v>
      </c>
      <c r="C106" s="182" t="s">
        <v>294</v>
      </c>
      <c r="D106" s="184">
        <v>13.59</v>
      </c>
      <c r="E106" s="182" t="s">
        <v>210</v>
      </c>
      <c r="K106" s="2"/>
      <c r="L106" s="183">
        <v>44894</v>
      </c>
      <c r="N106" s="15">
        <f>+O106</f>
        <v>44914</v>
      </c>
      <c r="O106" s="183">
        <v>44914</v>
      </c>
      <c r="P106" s="10">
        <f>+L106-N106</f>
        <v>-20</v>
      </c>
      <c r="Q106" s="10">
        <f>+N106-O106</f>
        <v>0</v>
      </c>
      <c r="R106" s="10">
        <f>+L106-O106</f>
        <v>-20</v>
      </c>
      <c r="S106" s="10">
        <f>+R106-30</f>
        <v>-50</v>
      </c>
      <c r="T106" s="8">
        <f>+Q106*D106</f>
        <v>0</v>
      </c>
      <c r="U106" s="8">
        <f>+S106*D106</f>
        <v>-679.5</v>
      </c>
      <c r="V106" s="118">
        <f>IF(Q106&gt;30,200+E106,100+E106)</f>
        <v>122</v>
      </c>
    </row>
    <row r="107" spans="1:22" ht="15" x14ac:dyDescent="0.25">
      <c r="A107" s="182" t="s">
        <v>295</v>
      </c>
      <c r="B107" s="183">
        <v>44894</v>
      </c>
      <c r="C107" s="182" t="s">
        <v>296</v>
      </c>
      <c r="D107" s="184">
        <v>10.47</v>
      </c>
      <c r="E107" s="182" t="s">
        <v>210</v>
      </c>
      <c r="K107" s="2"/>
      <c r="L107" s="183">
        <v>44894</v>
      </c>
      <c r="N107" s="15">
        <f>+O107</f>
        <v>44914</v>
      </c>
      <c r="O107" s="183">
        <v>44914</v>
      </c>
      <c r="P107" s="10">
        <f>+L107-N107</f>
        <v>-20</v>
      </c>
      <c r="Q107" s="10">
        <f>+N107-O107</f>
        <v>0</v>
      </c>
      <c r="R107" s="10">
        <f>+L107-O107</f>
        <v>-20</v>
      </c>
      <c r="S107" s="10">
        <f>+R107-30</f>
        <v>-50</v>
      </c>
      <c r="T107" s="8">
        <f>+Q107*D107</f>
        <v>0</v>
      </c>
      <c r="U107" s="8">
        <f>+S107*D107</f>
        <v>-523.5</v>
      </c>
      <c r="V107" s="118">
        <f>IF(Q107&gt;30,200+E107,100+E107)</f>
        <v>122</v>
      </c>
    </row>
    <row r="108" spans="1:22" ht="15" x14ac:dyDescent="0.25">
      <c r="A108" s="182" t="s">
        <v>297</v>
      </c>
      <c r="B108" s="183">
        <v>44837</v>
      </c>
      <c r="C108" s="182" t="s">
        <v>298</v>
      </c>
      <c r="D108" s="184">
        <v>326.7</v>
      </c>
      <c r="E108" s="182" t="s">
        <v>299</v>
      </c>
      <c r="K108" s="2"/>
      <c r="L108" s="183">
        <v>44837</v>
      </c>
      <c r="N108" s="15">
        <f>+O108</f>
        <v>44848</v>
      </c>
      <c r="O108" s="183">
        <v>44848</v>
      </c>
      <c r="P108" s="10">
        <f>+L108-N108</f>
        <v>-11</v>
      </c>
      <c r="Q108" s="10">
        <f>+N108-O108</f>
        <v>0</v>
      </c>
      <c r="R108" s="10">
        <f>+L108-O108</f>
        <v>-11</v>
      </c>
      <c r="S108" s="10">
        <f>+R108-30</f>
        <v>-41</v>
      </c>
      <c r="T108" s="8">
        <f>+Q108*D108</f>
        <v>0</v>
      </c>
      <c r="U108" s="8">
        <f>+S108*D108</f>
        <v>-13394.699999999999</v>
      </c>
      <c r="V108" s="118">
        <f>IF(Q108&gt;30,200+E108,100+E108)</f>
        <v>129</v>
      </c>
    </row>
    <row r="109" spans="1:22" ht="15" x14ac:dyDescent="0.25">
      <c r="A109" s="182" t="s">
        <v>300</v>
      </c>
      <c r="B109" s="183">
        <v>44842</v>
      </c>
      <c r="C109" s="182" t="s">
        <v>301</v>
      </c>
      <c r="D109" s="184">
        <v>17</v>
      </c>
      <c r="E109" s="182" t="s">
        <v>299</v>
      </c>
      <c r="K109" s="2"/>
      <c r="L109" s="183">
        <v>44842</v>
      </c>
      <c r="N109" s="15">
        <f>+O109</f>
        <v>44866</v>
      </c>
      <c r="O109" s="183">
        <v>44866</v>
      </c>
      <c r="P109" s="10">
        <f>+L109-N109</f>
        <v>-24</v>
      </c>
      <c r="Q109" s="10">
        <f>+N109-O109</f>
        <v>0</v>
      </c>
      <c r="R109" s="10">
        <f>+L109-O109</f>
        <v>-24</v>
      </c>
      <c r="S109" s="10">
        <f>+R109-30</f>
        <v>-54</v>
      </c>
      <c r="T109" s="8">
        <f>+Q109*D109</f>
        <v>0</v>
      </c>
      <c r="U109" s="8">
        <f>+S109*D109</f>
        <v>-918</v>
      </c>
      <c r="V109" s="118">
        <f>IF(Q109&gt;30,200+E109,100+E109)</f>
        <v>129</v>
      </c>
    </row>
    <row r="110" spans="1:22" ht="15" x14ac:dyDescent="0.25">
      <c r="A110" s="182" t="s">
        <v>302</v>
      </c>
      <c r="B110" s="183">
        <v>44835</v>
      </c>
      <c r="C110" s="182" t="s">
        <v>303</v>
      </c>
      <c r="D110" s="184">
        <v>124.03</v>
      </c>
      <c r="E110" s="182" t="s">
        <v>299</v>
      </c>
      <c r="K110" s="2"/>
      <c r="L110" s="183">
        <v>44835</v>
      </c>
      <c r="N110" s="15">
        <f>+O110</f>
        <v>44835</v>
      </c>
      <c r="O110" s="183">
        <v>44835</v>
      </c>
      <c r="P110" s="10">
        <f>+L110-N110</f>
        <v>0</v>
      </c>
      <c r="Q110" s="10">
        <f>+N110-O110</f>
        <v>0</v>
      </c>
      <c r="R110" s="10">
        <f>+L110-O110</f>
        <v>0</v>
      </c>
      <c r="S110" s="10">
        <f>+R110-30</f>
        <v>-30</v>
      </c>
      <c r="T110" s="8">
        <f>+Q110*D110</f>
        <v>0</v>
      </c>
      <c r="U110" s="8">
        <f>+S110*D110</f>
        <v>-3720.9</v>
      </c>
      <c r="V110" s="118">
        <f>IF(Q110&gt;30,200+E110,100+E110)</f>
        <v>129</v>
      </c>
    </row>
    <row r="111" spans="1:22" ht="15" x14ac:dyDescent="0.25">
      <c r="A111" s="182" t="s">
        <v>304</v>
      </c>
      <c r="B111" s="183">
        <v>44835</v>
      </c>
      <c r="C111" s="182" t="s">
        <v>305</v>
      </c>
      <c r="D111" s="184">
        <v>5.99</v>
      </c>
      <c r="E111" s="182" t="s">
        <v>299</v>
      </c>
      <c r="K111" s="2"/>
      <c r="L111" s="183">
        <v>44835</v>
      </c>
      <c r="N111" s="15">
        <f>+O111</f>
        <v>44835</v>
      </c>
      <c r="O111" s="183">
        <v>44835</v>
      </c>
      <c r="P111" s="10">
        <f>+L111-N111</f>
        <v>0</v>
      </c>
      <c r="Q111" s="10">
        <f>+N111-O111</f>
        <v>0</v>
      </c>
      <c r="R111" s="10">
        <f>+L111-O111</f>
        <v>0</v>
      </c>
      <c r="S111" s="10">
        <f>+R111-30</f>
        <v>-30</v>
      </c>
      <c r="T111" s="8">
        <f>+Q111*D111</f>
        <v>0</v>
      </c>
      <c r="U111" s="8">
        <f>+S111*D111</f>
        <v>-179.70000000000002</v>
      </c>
      <c r="V111" s="118">
        <f>IF(Q111&gt;30,200+E111,100+E111)</f>
        <v>129</v>
      </c>
    </row>
    <row r="112" spans="1:22" ht="15" x14ac:dyDescent="0.25">
      <c r="A112" s="182" t="s">
        <v>306</v>
      </c>
      <c r="B112" s="183">
        <v>44839</v>
      </c>
      <c r="C112" s="182" t="s">
        <v>307</v>
      </c>
      <c r="D112" s="184">
        <v>48.4</v>
      </c>
      <c r="E112" s="182" t="s">
        <v>299</v>
      </c>
      <c r="K112" s="2"/>
      <c r="L112" s="183">
        <v>44839</v>
      </c>
      <c r="N112" s="15">
        <f>+O112</f>
        <v>44848</v>
      </c>
      <c r="O112" s="183">
        <v>44848</v>
      </c>
      <c r="P112" s="10">
        <f>+L112-N112</f>
        <v>-9</v>
      </c>
      <c r="Q112" s="10">
        <f>+N112-O112</f>
        <v>0</v>
      </c>
      <c r="R112" s="10">
        <f>+L112-O112</f>
        <v>-9</v>
      </c>
      <c r="S112" s="10">
        <f>+R112-30</f>
        <v>-39</v>
      </c>
      <c r="T112" s="8">
        <f>+Q112*D112</f>
        <v>0</v>
      </c>
      <c r="U112" s="8">
        <f>+S112*D112</f>
        <v>-1887.6</v>
      </c>
      <c r="V112" s="118">
        <f>IF(Q112&gt;30,200+E112,100+E112)</f>
        <v>129</v>
      </c>
    </row>
    <row r="113" spans="1:22" ht="15" x14ac:dyDescent="0.25">
      <c r="A113" s="182" t="s">
        <v>308</v>
      </c>
      <c r="B113" s="183">
        <v>44847</v>
      </c>
      <c r="C113" s="182" t="s">
        <v>309</v>
      </c>
      <c r="D113" s="184">
        <v>290.39999999999998</v>
      </c>
      <c r="E113" s="182" t="s">
        <v>299</v>
      </c>
      <c r="K113" s="2"/>
      <c r="L113" s="183">
        <v>44847</v>
      </c>
      <c r="N113" s="15">
        <f>+O113</f>
        <v>44848</v>
      </c>
      <c r="O113" s="183">
        <v>44848</v>
      </c>
      <c r="P113" s="10">
        <f>+L113-N113</f>
        <v>-1</v>
      </c>
      <c r="Q113" s="10">
        <f>+N113-O113</f>
        <v>0</v>
      </c>
      <c r="R113" s="10">
        <f>+L113-O113</f>
        <v>-1</v>
      </c>
      <c r="S113" s="10">
        <f>+R113-30</f>
        <v>-31</v>
      </c>
      <c r="T113" s="8">
        <f>+Q113*D113</f>
        <v>0</v>
      </c>
      <c r="U113" s="8">
        <f>+S113*D113</f>
        <v>-9002.4</v>
      </c>
      <c r="V113" s="118">
        <f>IF(Q113&gt;30,200+E113,100+E113)</f>
        <v>129</v>
      </c>
    </row>
    <row r="114" spans="1:22" ht="15" x14ac:dyDescent="0.25">
      <c r="A114" s="182" t="s">
        <v>310</v>
      </c>
      <c r="B114" s="183">
        <v>44855</v>
      </c>
      <c r="C114" s="182" t="s">
        <v>311</v>
      </c>
      <c r="D114" s="184">
        <v>10874.75</v>
      </c>
      <c r="E114" s="182" t="s">
        <v>299</v>
      </c>
      <c r="K114" s="2"/>
      <c r="L114" s="183">
        <v>44855</v>
      </c>
      <c r="N114" s="15">
        <f>+O114</f>
        <v>44861</v>
      </c>
      <c r="O114" s="183">
        <v>44861</v>
      </c>
      <c r="P114" s="10">
        <f>+L114-N114</f>
        <v>-6</v>
      </c>
      <c r="Q114" s="10">
        <f>+N114-O114</f>
        <v>0</v>
      </c>
      <c r="R114" s="10">
        <f>+L114-O114</f>
        <v>-6</v>
      </c>
      <c r="S114" s="10">
        <f>+R114-30</f>
        <v>-36</v>
      </c>
      <c r="T114" s="8">
        <f>+Q114*D114</f>
        <v>0</v>
      </c>
      <c r="U114" s="8">
        <f>+S114*D114</f>
        <v>-391491</v>
      </c>
      <c r="V114" s="118">
        <f>IF(Q114&gt;30,200+E114,100+E114)</f>
        <v>129</v>
      </c>
    </row>
    <row r="115" spans="1:22" ht="15" x14ac:dyDescent="0.25">
      <c r="A115" s="182" t="s">
        <v>312</v>
      </c>
      <c r="B115" s="183">
        <v>44858</v>
      </c>
      <c r="C115" s="182" t="s">
        <v>313</v>
      </c>
      <c r="D115" s="184">
        <v>450</v>
      </c>
      <c r="E115" s="182" t="s">
        <v>299</v>
      </c>
      <c r="K115" s="2"/>
      <c r="L115" s="183">
        <v>44858</v>
      </c>
      <c r="N115" s="15">
        <f>+O115</f>
        <v>44861</v>
      </c>
      <c r="O115" s="183">
        <v>44861</v>
      </c>
      <c r="P115" s="10">
        <f>+L115-N115</f>
        <v>-3</v>
      </c>
      <c r="Q115" s="10">
        <f>+N115-O115</f>
        <v>0</v>
      </c>
      <c r="R115" s="10">
        <f>+L115-O115</f>
        <v>-3</v>
      </c>
      <c r="S115" s="10">
        <f>+R115-30</f>
        <v>-33</v>
      </c>
      <c r="T115" s="8">
        <f>+Q115*D115</f>
        <v>0</v>
      </c>
      <c r="U115" s="8">
        <f>+S115*D115</f>
        <v>-14850</v>
      </c>
      <c r="V115" s="118">
        <f>IF(Q115&gt;30,200+E115,100+E115)</f>
        <v>129</v>
      </c>
    </row>
    <row r="116" spans="1:22" ht="15" x14ac:dyDescent="0.25">
      <c r="A116" s="182" t="s">
        <v>314</v>
      </c>
      <c r="B116" s="183">
        <v>44857</v>
      </c>
      <c r="C116" s="182" t="s">
        <v>315</v>
      </c>
      <c r="D116" s="184">
        <v>1862.27</v>
      </c>
      <c r="E116" s="182" t="s">
        <v>299</v>
      </c>
      <c r="K116" s="2"/>
      <c r="L116" s="183">
        <v>44857</v>
      </c>
      <c r="N116" s="15">
        <f>+O116</f>
        <v>44862</v>
      </c>
      <c r="O116" s="183">
        <v>44862</v>
      </c>
      <c r="P116" s="10">
        <f>+L116-N116</f>
        <v>-5</v>
      </c>
      <c r="Q116" s="10">
        <f>+N116-O116</f>
        <v>0</v>
      </c>
      <c r="R116" s="10">
        <f>+L116-O116</f>
        <v>-5</v>
      </c>
      <c r="S116" s="10">
        <f>+R116-30</f>
        <v>-35</v>
      </c>
      <c r="T116" s="8">
        <f>+Q116*D116</f>
        <v>0</v>
      </c>
      <c r="U116" s="8">
        <f>+S116*D116</f>
        <v>-65179.45</v>
      </c>
      <c r="V116" s="118">
        <f>IF(Q116&gt;30,200+E116,100+E116)</f>
        <v>129</v>
      </c>
    </row>
    <row r="117" spans="1:22" ht="15" x14ac:dyDescent="0.25">
      <c r="A117" s="182" t="s">
        <v>316</v>
      </c>
      <c r="B117" s="183">
        <v>44855</v>
      </c>
      <c r="C117" s="182" t="s">
        <v>317</v>
      </c>
      <c r="D117" s="184">
        <v>108.9</v>
      </c>
      <c r="E117" s="182" t="s">
        <v>299</v>
      </c>
      <c r="K117" s="2"/>
      <c r="L117" s="183">
        <v>44855</v>
      </c>
      <c r="N117" s="15">
        <f>+O117</f>
        <v>44861</v>
      </c>
      <c r="O117" s="183">
        <v>44861</v>
      </c>
      <c r="P117" s="10">
        <f>+L117-N117</f>
        <v>-6</v>
      </c>
      <c r="Q117" s="10">
        <f>+N117-O117</f>
        <v>0</v>
      </c>
      <c r="R117" s="10">
        <f>+L117-O117</f>
        <v>-6</v>
      </c>
      <c r="S117" s="10">
        <f>+R117-30</f>
        <v>-36</v>
      </c>
      <c r="T117" s="8">
        <f>+Q117*D117</f>
        <v>0</v>
      </c>
      <c r="U117" s="8">
        <f>+S117*D117</f>
        <v>-3920.4</v>
      </c>
      <c r="V117" s="118">
        <f>IF(Q117&gt;30,200+E117,100+E117)</f>
        <v>129</v>
      </c>
    </row>
    <row r="118" spans="1:22" ht="15" x14ac:dyDescent="0.25">
      <c r="A118" s="182" t="s">
        <v>318</v>
      </c>
      <c r="B118" s="183">
        <v>44860</v>
      </c>
      <c r="C118" s="182" t="s">
        <v>319</v>
      </c>
      <c r="D118" s="184">
        <v>605</v>
      </c>
      <c r="E118" s="182" t="s">
        <v>299</v>
      </c>
      <c r="K118" s="2"/>
      <c r="L118" s="183">
        <v>44860</v>
      </c>
      <c r="N118" s="15">
        <f>+O118</f>
        <v>44861</v>
      </c>
      <c r="O118" s="183">
        <v>44861</v>
      </c>
      <c r="P118" s="10">
        <f>+L118-N118</f>
        <v>-1</v>
      </c>
      <c r="Q118" s="10">
        <f>+N118-O118</f>
        <v>0</v>
      </c>
      <c r="R118" s="10">
        <f>+L118-O118</f>
        <v>-1</v>
      </c>
      <c r="S118" s="10">
        <f>+R118-30</f>
        <v>-31</v>
      </c>
      <c r="T118" s="8">
        <f>+Q118*D118</f>
        <v>0</v>
      </c>
      <c r="U118" s="8">
        <f>+S118*D118</f>
        <v>-18755</v>
      </c>
      <c r="V118" s="118">
        <f>IF(Q118&gt;30,200+E118,100+E118)</f>
        <v>129</v>
      </c>
    </row>
    <row r="119" spans="1:22" ht="15" x14ac:dyDescent="0.25">
      <c r="A119" s="182" t="s">
        <v>320</v>
      </c>
      <c r="B119" s="183">
        <v>44860</v>
      </c>
      <c r="C119" s="182" t="s">
        <v>321</v>
      </c>
      <c r="D119" s="184">
        <v>544.5</v>
      </c>
      <c r="E119" s="182" t="s">
        <v>299</v>
      </c>
      <c r="K119" s="2"/>
      <c r="L119" s="183">
        <v>44861</v>
      </c>
      <c r="N119" s="15">
        <f>+O119</f>
        <v>44861</v>
      </c>
      <c r="O119" s="183">
        <v>44861</v>
      </c>
      <c r="P119" s="10">
        <f>+L119-N119</f>
        <v>0</v>
      </c>
      <c r="Q119" s="10">
        <f>+N119-O119</f>
        <v>0</v>
      </c>
      <c r="R119" s="10">
        <f>+L119-O119</f>
        <v>0</v>
      </c>
      <c r="S119" s="10">
        <f>+R119-30</f>
        <v>-30</v>
      </c>
      <c r="T119" s="8">
        <f>+Q119*D119</f>
        <v>0</v>
      </c>
      <c r="U119" s="8">
        <f>+S119*D119</f>
        <v>-16335</v>
      </c>
      <c r="V119" s="118">
        <f>IF(Q119&gt;30,200+E119,100+E119)</f>
        <v>129</v>
      </c>
    </row>
    <row r="120" spans="1:22" ht="15" x14ac:dyDescent="0.25">
      <c r="A120" s="182" t="s">
        <v>322</v>
      </c>
      <c r="B120" s="183">
        <v>44862</v>
      </c>
      <c r="C120" s="182" t="s">
        <v>323</v>
      </c>
      <c r="D120" s="184">
        <v>4317.28</v>
      </c>
      <c r="E120" s="182" t="s">
        <v>299</v>
      </c>
      <c r="K120" s="2"/>
      <c r="L120" s="183">
        <v>44862</v>
      </c>
      <c r="N120" s="15">
        <f>+O120</f>
        <v>44868</v>
      </c>
      <c r="O120" s="183">
        <v>44868</v>
      </c>
      <c r="P120" s="10">
        <f>+L120-N120</f>
        <v>-6</v>
      </c>
      <c r="Q120" s="10">
        <f>+N120-O120</f>
        <v>0</v>
      </c>
      <c r="R120" s="10">
        <f>+L120-O120</f>
        <v>-6</v>
      </c>
      <c r="S120" s="10">
        <f>+R120-30</f>
        <v>-36</v>
      </c>
      <c r="T120" s="8">
        <f>+Q120*D120</f>
        <v>0</v>
      </c>
      <c r="U120" s="8">
        <f>+S120*D120</f>
        <v>-155422.07999999999</v>
      </c>
      <c r="V120" s="118">
        <f>IF(Q120&gt;30,200+E120,100+E120)</f>
        <v>129</v>
      </c>
    </row>
    <row r="121" spans="1:22" ht="15" x14ac:dyDescent="0.25">
      <c r="A121" s="182" t="s">
        <v>324</v>
      </c>
      <c r="B121" s="183">
        <v>44865</v>
      </c>
      <c r="C121" s="182" t="s">
        <v>325</v>
      </c>
      <c r="D121" s="184">
        <v>5082.7299999999996</v>
      </c>
      <c r="E121" s="182" t="s">
        <v>299</v>
      </c>
      <c r="K121" s="2"/>
      <c r="L121" s="183">
        <v>44865</v>
      </c>
      <c r="N121" s="15">
        <f>+O121</f>
        <v>44868</v>
      </c>
      <c r="O121" s="183">
        <v>44868</v>
      </c>
      <c r="P121" s="10">
        <f>+L121-N121</f>
        <v>-3</v>
      </c>
      <c r="Q121" s="10">
        <f>+N121-O121</f>
        <v>0</v>
      </c>
      <c r="R121" s="10">
        <f>+L121-O121</f>
        <v>-3</v>
      </c>
      <c r="S121" s="10">
        <f>+R121-30</f>
        <v>-33</v>
      </c>
      <c r="T121" s="8">
        <f>+Q121*D121</f>
        <v>0</v>
      </c>
      <c r="U121" s="8">
        <f>+S121*D121</f>
        <v>-167730.09</v>
      </c>
      <c r="V121" s="118">
        <f>IF(Q121&gt;30,200+E121,100+E121)</f>
        <v>129</v>
      </c>
    </row>
    <row r="122" spans="1:22" ht="15" x14ac:dyDescent="0.25">
      <c r="A122" s="182" t="s">
        <v>326</v>
      </c>
      <c r="B122" s="183">
        <v>44858</v>
      </c>
      <c r="C122" s="182" t="s">
        <v>327</v>
      </c>
      <c r="D122" s="184">
        <v>575.96</v>
      </c>
      <c r="E122" s="182" t="s">
        <v>299</v>
      </c>
      <c r="K122" s="2"/>
      <c r="L122" s="183">
        <v>44858</v>
      </c>
      <c r="N122" s="15">
        <f>+O122</f>
        <v>44861</v>
      </c>
      <c r="O122" s="183">
        <v>44861</v>
      </c>
      <c r="P122" s="10">
        <f>+L122-N122</f>
        <v>-3</v>
      </c>
      <c r="Q122" s="10">
        <f>+N122-O122</f>
        <v>0</v>
      </c>
      <c r="R122" s="10">
        <f>+L122-O122</f>
        <v>-3</v>
      </c>
      <c r="S122" s="10">
        <f>+R122-30</f>
        <v>-33</v>
      </c>
      <c r="T122" s="8">
        <f>+Q122*D122</f>
        <v>0</v>
      </c>
      <c r="U122" s="8">
        <f>+S122*D122</f>
        <v>-19006.68</v>
      </c>
      <c r="V122" s="118">
        <f>IF(Q122&gt;30,200+E122,100+E122)</f>
        <v>129</v>
      </c>
    </row>
    <row r="123" spans="1:22" ht="15" x14ac:dyDescent="0.25">
      <c r="A123" s="182" t="s">
        <v>328</v>
      </c>
      <c r="B123" s="183">
        <v>44865</v>
      </c>
      <c r="C123" s="182" t="s">
        <v>329</v>
      </c>
      <c r="D123" s="184">
        <v>244.84</v>
      </c>
      <c r="E123" s="182" t="s">
        <v>299</v>
      </c>
      <c r="K123" s="2"/>
      <c r="L123" s="183">
        <v>44865</v>
      </c>
      <c r="N123" s="15">
        <f>+O123</f>
        <v>44872</v>
      </c>
      <c r="O123" s="183">
        <v>44872</v>
      </c>
      <c r="P123" s="10">
        <f>+L123-N123</f>
        <v>-7</v>
      </c>
      <c r="Q123" s="10">
        <f>+N123-O123</f>
        <v>0</v>
      </c>
      <c r="R123" s="10">
        <f>+L123-O123</f>
        <v>-7</v>
      </c>
      <c r="S123" s="10">
        <f>+R123-30</f>
        <v>-37</v>
      </c>
      <c r="T123" s="8">
        <f>+Q123*D123</f>
        <v>0</v>
      </c>
      <c r="U123" s="8">
        <f>+S123*D123</f>
        <v>-9059.08</v>
      </c>
      <c r="V123" s="118">
        <f>IF(Q123&gt;30,200+E123,100+E123)</f>
        <v>129</v>
      </c>
    </row>
    <row r="124" spans="1:22" ht="15" x14ac:dyDescent="0.25">
      <c r="A124" s="182" t="s">
        <v>330</v>
      </c>
      <c r="B124" s="183">
        <v>44858</v>
      </c>
      <c r="C124" s="182" t="s">
        <v>331</v>
      </c>
      <c r="D124" s="184">
        <v>1046.5899999999999</v>
      </c>
      <c r="E124" s="182" t="s">
        <v>299</v>
      </c>
      <c r="K124" s="2"/>
      <c r="L124" s="183">
        <v>44858</v>
      </c>
      <c r="N124" s="15">
        <f>+O124</f>
        <v>44879</v>
      </c>
      <c r="O124" s="183">
        <v>44879</v>
      </c>
      <c r="P124" s="10">
        <f>+L124-N124</f>
        <v>-21</v>
      </c>
      <c r="Q124" s="10">
        <f>+N124-O124</f>
        <v>0</v>
      </c>
      <c r="R124" s="10">
        <f>+L124-O124</f>
        <v>-21</v>
      </c>
      <c r="S124" s="10">
        <f>+R124-30</f>
        <v>-51</v>
      </c>
      <c r="T124" s="8">
        <f>+Q124*D124</f>
        <v>0</v>
      </c>
      <c r="U124" s="8">
        <f>+S124*D124</f>
        <v>-53376.09</v>
      </c>
      <c r="V124" s="118">
        <f>IF(Q124&gt;30,200+E124,100+E124)</f>
        <v>129</v>
      </c>
    </row>
    <row r="125" spans="1:22" ht="15" x14ac:dyDescent="0.25">
      <c r="A125" s="182" t="s">
        <v>332</v>
      </c>
      <c r="B125" s="183">
        <v>44854</v>
      </c>
      <c r="C125" s="182" t="s">
        <v>333</v>
      </c>
      <c r="D125" s="184">
        <v>22.02</v>
      </c>
      <c r="E125" s="182" t="s">
        <v>299</v>
      </c>
      <c r="K125" s="2"/>
      <c r="L125" s="183">
        <v>44854</v>
      </c>
      <c r="N125" s="15">
        <f>+O125</f>
        <v>44862</v>
      </c>
      <c r="O125" s="183">
        <v>44862</v>
      </c>
      <c r="P125" s="10">
        <f>+L125-N125</f>
        <v>-8</v>
      </c>
      <c r="Q125" s="10">
        <f>+N125-O125</f>
        <v>0</v>
      </c>
      <c r="R125" s="10">
        <f>+L125-O125</f>
        <v>-8</v>
      </c>
      <c r="S125" s="10">
        <f>+R125-30</f>
        <v>-38</v>
      </c>
      <c r="T125" s="8">
        <f>+Q125*D125</f>
        <v>0</v>
      </c>
      <c r="U125" s="8">
        <f>+S125*D125</f>
        <v>-836.76</v>
      </c>
      <c r="V125" s="118">
        <f>IF(Q125&gt;30,200+E125,100+E125)</f>
        <v>129</v>
      </c>
    </row>
    <row r="126" spans="1:22" ht="15" x14ac:dyDescent="0.25">
      <c r="A126" s="182" t="s">
        <v>334</v>
      </c>
      <c r="B126" s="183">
        <v>44862</v>
      </c>
      <c r="C126" s="182" t="s">
        <v>335</v>
      </c>
      <c r="D126" s="184">
        <v>20.03</v>
      </c>
      <c r="E126" s="182" t="s">
        <v>299</v>
      </c>
      <c r="K126" s="2"/>
      <c r="L126" s="183">
        <v>44862</v>
      </c>
      <c r="N126" s="15">
        <f>+O126</f>
        <v>44882</v>
      </c>
      <c r="O126" s="183">
        <v>44882</v>
      </c>
      <c r="P126" s="10">
        <f>+L126-N126</f>
        <v>-20</v>
      </c>
      <c r="Q126" s="10">
        <f>+N126-O126</f>
        <v>0</v>
      </c>
      <c r="R126" s="10">
        <f>+L126-O126</f>
        <v>-20</v>
      </c>
      <c r="S126" s="10">
        <f>+R126-30</f>
        <v>-50</v>
      </c>
      <c r="T126" s="8">
        <f>+Q126*D126</f>
        <v>0</v>
      </c>
      <c r="U126" s="8">
        <f>+S126*D126</f>
        <v>-1001.5</v>
      </c>
      <c r="V126" s="118">
        <f>IF(Q126&gt;30,200+E126,100+E126)</f>
        <v>129</v>
      </c>
    </row>
    <row r="127" spans="1:22" ht="15" x14ac:dyDescent="0.25">
      <c r="A127" s="182" t="s">
        <v>336</v>
      </c>
      <c r="B127" s="183">
        <v>44862</v>
      </c>
      <c r="C127" s="182" t="s">
        <v>337</v>
      </c>
      <c r="D127" s="184">
        <v>32.090000000000003</v>
      </c>
      <c r="E127" s="182" t="s">
        <v>299</v>
      </c>
      <c r="K127" s="2"/>
      <c r="L127" s="183">
        <v>44862</v>
      </c>
      <c r="N127" s="15">
        <f>+O127</f>
        <v>44882</v>
      </c>
      <c r="O127" s="183">
        <v>44882</v>
      </c>
      <c r="P127" s="10">
        <f>+L127-N127</f>
        <v>-20</v>
      </c>
      <c r="Q127" s="10">
        <f>+N127-O127</f>
        <v>0</v>
      </c>
      <c r="R127" s="10">
        <f>+L127-O127</f>
        <v>-20</v>
      </c>
      <c r="S127" s="10">
        <f>+R127-30</f>
        <v>-50</v>
      </c>
      <c r="T127" s="8">
        <f>+Q127*D127</f>
        <v>0</v>
      </c>
      <c r="U127" s="8">
        <f>+S127*D127</f>
        <v>-1604.5000000000002</v>
      </c>
      <c r="V127" s="118">
        <f>IF(Q127&gt;30,200+E127,100+E127)</f>
        <v>129</v>
      </c>
    </row>
    <row r="128" spans="1:22" ht="15" x14ac:dyDescent="0.25">
      <c r="A128" s="182" t="s">
        <v>338</v>
      </c>
      <c r="B128" s="183">
        <v>44862</v>
      </c>
      <c r="C128" s="182" t="s">
        <v>339</v>
      </c>
      <c r="D128" s="184">
        <v>59.16</v>
      </c>
      <c r="E128" s="182" t="s">
        <v>299</v>
      </c>
      <c r="K128" s="2"/>
      <c r="L128" s="183">
        <v>44862</v>
      </c>
      <c r="N128" s="15">
        <f>+O128</f>
        <v>44882</v>
      </c>
      <c r="O128" s="183">
        <v>44882</v>
      </c>
      <c r="P128" s="10">
        <f>+L128-N128</f>
        <v>-20</v>
      </c>
      <c r="Q128" s="10">
        <f>+N128-O128</f>
        <v>0</v>
      </c>
      <c r="R128" s="10">
        <f>+L128-O128</f>
        <v>-20</v>
      </c>
      <c r="S128" s="10">
        <f>+R128-30</f>
        <v>-50</v>
      </c>
      <c r="T128" s="8">
        <f>+Q128*D128</f>
        <v>0</v>
      </c>
      <c r="U128" s="8">
        <f>+S128*D128</f>
        <v>-2958</v>
      </c>
      <c r="V128" s="118">
        <f>IF(Q128&gt;30,200+E128,100+E128)</f>
        <v>129</v>
      </c>
    </row>
    <row r="129" spans="1:22" ht="15" x14ac:dyDescent="0.25">
      <c r="A129" s="182" t="s">
        <v>340</v>
      </c>
      <c r="B129" s="183">
        <v>44862</v>
      </c>
      <c r="C129" s="182" t="s">
        <v>341</v>
      </c>
      <c r="D129" s="184">
        <v>13.35</v>
      </c>
      <c r="E129" s="182" t="s">
        <v>299</v>
      </c>
      <c r="K129" s="2"/>
      <c r="L129" s="183">
        <v>44862</v>
      </c>
      <c r="N129" s="15">
        <f>+O129</f>
        <v>44882</v>
      </c>
      <c r="O129" s="183">
        <v>44882</v>
      </c>
      <c r="P129" s="10">
        <f>+L129-N129</f>
        <v>-20</v>
      </c>
      <c r="Q129" s="10">
        <f>+N129-O129</f>
        <v>0</v>
      </c>
      <c r="R129" s="10">
        <f>+L129-O129</f>
        <v>-20</v>
      </c>
      <c r="S129" s="10">
        <f>+R129-30</f>
        <v>-50</v>
      </c>
      <c r="T129" s="8">
        <f>+Q129*D129</f>
        <v>0</v>
      </c>
      <c r="U129" s="8">
        <f>+S129*D129</f>
        <v>-667.5</v>
      </c>
      <c r="V129" s="118">
        <f>IF(Q129&gt;30,200+E129,100+E129)</f>
        <v>129</v>
      </c>
    </row>
    <row r="130" spans="1:22" ht="15" x14ac:dyDescent="0.25">
      <c r="A130" s="182" t="s">
        <v>342</v>
      </c>
      <c r="B130" s="183">
        <v>44862</v>
      </c>
      <c r="C130" s="182" t="s">
        <v>343</v>
      </c>
      <c r="D130" s="184">
        <v>24.63</v>
      </c>
      <c r="E130" s="182" t="s">
        <v>299</v>
      </c>
      <c r="K130" s="2"/>
      <c r="L130" s="183">
        <v>44862</v>
      </c>
      <c r="N130" s="15">
        <f>+O130</f>
        <v>44882</v>
      </c>
      <c r="O130" s="183">
        <v>44882</v>
      </c>
      <c r="P130" s="10">
        <f>+L130-N130</f>
        <v>-20</v>
      </c>
      <c r="Q130" s="10">
        <f>+N130-O130</f>
        <v>0</v>
      </c>
      <c r="R130" s="10">
        <f>+L130-O130</f>
        <v>-20</v>
      </c>
      <c r="S130" s="10">
        <f>+R130-30</f>
        <v>-50</v>
      </c>
      <c r="T130" s="8">
        <f>+Q130*D130</f>
        <v>0</v>
      </c>
      <c r="U130" s="8">
        <f>+S130*D130</f>
        <v>-1231.5</v>
      </c>
      <c r="V130" s="118">
        <f>IF(Q130&gt;30,200+E130,100+E130)</f>
        <v>129</v>
      </c>
    </row>
    <row r="131" spans="1:22" ht="15" x14ac:dyDescent="0.25">
      <c r="A131" s="182" t="s">
        <v>344</v>
      </c>
      <c r="B131" s="183">
        <v>44862</v>
      </c>
      <c r="C131" s="182" t="s">
        <v>345</v>
      </c>
      <c r="D131" s="184">
        <v>13.5</v>
      </c>
      <c r="E131" s="182" t="s">
        <v>299</v>
      </c>
      <c r="K131" s="2"/>
      <c r="L131" s="183">
        <v>44862</v>
      </c>
      <c r="N131" s="15">
        <f>+O131</f>
        <v>44882</v>
      </c>
      <c r="O131" s="183">
        <v>44882</v>
      </c>
      <c r="P131" s="10">
        <f>+L131-N131</f>
        <v>-20</v>
      </c>
      <c r="Q131" s="10">
        <f>+N131-O131</f>
        <v>0</v>
      </c>
      <c r="R131" s="10">
        <f>+L131-O131</f>
        <v>-20</v>
      </c>
      <c r="S131" s="10">
        <f>+R131-30</f>
        <v>-50</v>
      </c>
      <c r="T131" s="8">
        <f>+Q131*D131</f>
        <v>0</v>
      </c>
      <c r="U131" s="8">
        <f>+S131*D131</f>
        <v>-675</v>
      </c>
      <c r="V131" s="118">
        <f>IF(Q131&gt;30,200+E131,100+E131)</f>
        <v>129</v>
      </c>
    </row>
    <row r="132" spans="1:22" ht="15" x14ac:dyDescent="0.25">
      <c r="A132" s="182" t="s">
        <v>346</v>
      </c>
      <c r="B132" s="183">
        <v>44862</v>
      </c>
      <c r="C132" s="182" t="s">
        <v>347</v>
      </c>
      <c r="D132" s="184">
        <v>10.47</v>
      </c>
      <c r="E132" s="182" t="s">
        <v>299</v>
      </c>
      <c r="K132" s="2"/>
      <c r="L132" s="183">
        <v>44862</v>
      </c>
      <c r="N132" s="15">
        <f>+O132</f>
        <v>44882</v>
      </c>
      <c r="O132" s="183">
        <v>44882</v>
      </c>
      <c r="P132" s="10">
        <f>+L132-N132</f>
        <v>-20</v>
      </c>
      <c r="Q132" s="10">
        <f>+N132-O132</f>
        <v>0</v>
      </c>
      <c r="R132" s="10">
        <f>+L132-O132</f>
        <v>-20</v>
      </c>
      <c r="S132" s="10">
        <f>+R132-30</f>
        <v>-50</v>
      </c>
      <c r="T132" s="8">
        <f>+Q132*D132</f>
        <v>0</v>
      </c>
      <c r="U132" s="8">
        <f>+S132*D132</f>
        <v>-523.5</v>
      </c>
      <c r="V132" s="118">
        <f>IF(Q132&gt;30,200+E132,100+E132)</f>
        <v>129</v>
      </c>
    </row>
    <row r="133" spans="1:22" ht="15" x14ac:dyDescent="0.25">
      <c r="A133" s="182" t="s">
        <v>348</v>
      </c>
      <c r="B133" s="183">
        <v>44862</v>
      </c>
      <c r="C133" s="182" t="s">
        <v>349</v>
      </c>
      <c r="D133" s="184">
        <v>22</v>
      </c>
      <c r="E133" s="182" t="s">
        <v>299</v>
      </c>
      <c r="K133" s="2"/>
      <c r="L133" s="183">
        <v>44862</v>
      </c>
      <c r="N133" s="15">
        <f>+O133</f>
        <v>44882</v>
      </c>
      <c r="O133" s="183">
        <v>44882</v>
      </c>
      <c r="P133" s="10">
        <f>+L133-N133</f>
        <v>-20</v>
      </c>
      <c r="Q133" s="10">
        <f>+N133-O133</f>
        <v>0</v>
      </c>
      <c r="R133" s="10">
        <f>+L133-O133</f>
        <v>-20</v>
      </c>
      <c r="S133" s="10">
        <f>+R133-30</f>
        <v>-50</v>
      </c>
      <c r="T133" s="8">
        <f>+Q133*D133</f>
        <v>0</v>
      </c>
      <c r="U133" s="8">
        <f>+S133*D133</f>
        <v>-1100</v>
      </c>
      <c r="V133" s="118">
        <f>IF(Q133&gt;30,200+E133,100+E133)</f>
        <v>129</v>
      </c>
    </row>
    <row r="134" spans="1:22" ht="15" x14ac:dyDescent="0.25">
      <c r="A134" s="182" t="s">
        <v>350</v>
      </c>
      <c r="B134" s="183">
        <v>44862</v>
      </c>
      <c r="C134" s="182" t="s">
        <v>351</v>
      </c>
      <c r="D134" s="184">
        <v>668.28</v>
      </c>
      <c r="E134" s="182" t="s">
        <v>299</v>
      </c>
      <c r="K134" s="2"/>
      <c r="L134" s="183">
        <v>44862</v>
      </c>
      <c r="N134" s="15">
        <f>+O134</f>
        <v>44882</v>
      </c>
      <c r="O134" s="183">
        <v>44882</v>
      </c>
      <c r="P134" s="10">
        <f>+L134-N134</f>
        <v>-20</v>
      </c>
      <c r="Q134" s="10">
        <f>+N134-O134</f>
        <v>0</v>
      </c>
      <c r="R134" s="10">
        <f>+L134-O134</f>
        <v>-20</v>
      </c>
      <c r="S134" s="10">
        <f>+R134-30</f>
        <v>-50</v>
      </c>
      <c r="T134" s="8">
        <f>+Q134*D134</f>
        <v>0</v>
      </c>
      <c r="U134" s="8">
        <f>+S134*D134</f>
        <v>-33414</v>
      </c>
      <c r="V134" s="118">
        <f>IF(Q134&gt;30,200+E134,100+E134)</f>
        <v>129</v>
      </c>
    </row>
    <row r="135" spans="1:22" ht="15" x14ac:dyDescent="0.25">
      <c r="A135" s="182" t="s">
        <v>352</v>
      </c>
      <c r="B135" s="183">
        <v>44862</v>
      </c>
      <c r="C135" s="182" t="s">
        <v>353</v>
      </c>
      <c r="D135" s="184">
        <v>685.01</v>
      </c>
      <c r="E135" s="182" t="s">
        <v>299</v>
      </c>
      <c r="K135" s="2"/>
      <c r="L135" s="183">
        <v>44862</v>
      </c>
      <c r="N135" s="15">
        <f>+O135</f>
        <v>44882</v>
      </c>
      <c r="O135" s="183">
        <v>44882</v>
      </c>
      <c r="P135" s="10">
        <f>+L135-N135</f>
        <v>-20</v>
      </c>
      <c r="Q135" s="10">
        <f>+N135-O135</f>
        <v>0</v>
      </c>
      <c r="R135" s="10">
        <f>+L135-O135</f>
        <v>-20</v>
      </c>
      <c r="S135" s="10">
        <f>+R135-30</f>
        <v>-50</v>
      </c>
      <c r="T135" s="8">
        <f>+Q135*D135</f>
        <v>0</v>
      </c>
      <c r="U135" s="8">
        <f>+S135*D135</f>
        <v>-34250.5</v>
      </c>
      <c r="V135" s="118">
        <f>IF(Q135&gt;30,200+E135,100+E135)</f>
        <v>129</v>
      </c>
    </row>
    <row r="136" spans="1:22" ht="15" x14ac:dyDescent="0.25">
      <c r="A136" s="182" t="s">
        <v>354</v>
      </c>
      <c r="B136" s="183">
        <v>44862</v>
      </c>
      <c r="C136" s="182" t="s">
        <v>355</v>
      </c>
      <c r="D136" s="184">
        <v>285.18</v>
      </c>
      <c r="E136" s="182" t="s">
        <v>299</v>
      </c>
      <c r="K136" s="2"/>
      <c r="L136" s="183">
        <v>44862</v>
      </c>
      <c r="N136" s="15">
        <f>+O136</f>
        <v>44882</v>
      </c>
      <c r="O136" s="183">
        <v>44882</v>
      </c>
      <c r="P136" s="10">
        <f>+L136-N136</f>
        <v>-20</v>
      </c>
      <c r="Q136" s="10">
        <f>+N136-O136</f>
        <v>0</v>
      </c>
      <c r="R136" s="10">
        <f>+L136-O136</f>
        <v>-20</v>
      </c>
      <c r="S136" s="10">
        <f>+R136-30</f>
        <v>-50</v>
      </c>
      <c r="T136" s="8">
        <f>+Q136*D136</f>
        <v>0</v>
      </c>
      <c r="U136" s="8">
        <f>+S136*D136</f>
        <v>-14259</v>
      </c>
      <c r="V136" s="118">
        <f>IF(Q136&gt;30,200+E136,100+E136)</f>
        <v>129</v>
      </c>
    </row>
    <row r="137" spans="1:22" ht="15" x14ac:dyDescent="0.25">
      <c r="A137" s="182" t="s">
        <v>356</v>
      </c>
      <c r="B137" s="183">
        <v>44862</v>
      </c>
      <c r="C137" s="182" t="s">
        <v>357</v>
      </c>
      <c r="D137" s="184">
        <v>376.99</v>
      </c>
      <c r="E137" s="182" t="s">
        <v>299</v>
      </c>
      <c r="K137" s="2"/>
      <c r="L137" s="183">
        <v>44862</v>
      </c>
      <c r="N137" s="15">
        <f>+O137</f>
        <v>44882</v>
      </c>
      <c r="O137" s="183">
        <v>44882</v>
      </c>
      <c r="P137" s="10">
        <f>+L137-N137</f>
        <v>-20</v>
      </c>
      <c r="Q137" s="10">
        <f>+N137-O137</f>
        <v>0</v>
      </c>
      <c r="R137" s="10">
        <f>+L137-O137</f>
        <v>-20</v>
      </c>
      <c r="S137" s="10">
        <f>+R137-30</f>
        <v>-50</v>
      </c>
      <c r="T137" s="8">
        <f>+Q137*D137</f>
        <v>0</v>
      </c>
      <c r="U137" s="8">
        <f>+S137*D137</f>
        <v>-18849.5</v>
      </c>
      <c r="V137" s="118">
        <f>IF(Q137&gt;30,200+E137,100+E137)</f>
        <v>129</v>
      </c>
    </row>
    <row r="138" spans="1:22" ht="15" x14ac:dyDescent="0.25">
      <c r="A138" s="182" t="s">
        <v>358</v>
      </c>
      <c r="B138" s="183">
        <v>44862</v>
      </c>
      <c r="C138" s="182" t="s">
        <v>359</v>
      </c>
      <c r="D138" s="184">
        <v>365.81</v>
      </c>
      <c r="E138" s="182" t="s">
        <v>299</v>
      </c>
      <c r="K138" s="2"/>
      <c r="L138" s="183">
        <v>44862</v>
      </c>
      <c r="N138" s="15">
        <f>+O138</f>
        <v>44882</v>
      </c>
      <c r="O138" s="183">
        <v>44882</v>
      </c>
      <c r="P138" s="10">
        <f>+L138-N138</f>
        <v>-20</v>
      </c>
      <c r="Q138" s="10">
        <f>+N138-O138</f>
        <v>0</v>
      </c>
      <c r="R138" s="10">
        <f>+L138-O138</f>
        <v>-20</v>
      </c>
      <c r="S138" s="10">
        <f>+R138-30</f>
        <v>-50</v>
      </c>
      <c r="T138" s="8">
        <f>+Q138*D138</f>
        <v>0</v>
      </c>
      <c r="U138" s="8">
        <f>+S138*D138</f>
        <v>-18290.5</v>
      </c>
      <c r="V138" s="118">
        <f>IF(Q138&gt;30,200+E138,100+E138)</f>
        <v>129</v>
      </c>
    </row>
    <row r="139" spans="1:22" ht="15" x14ac:dyDescent="0.25">
      <c r="A139" s="182" t="s">
        <v>360</v>
      </c>
      <c r="B139" s="183">
        <v>44862</v>
      </c>
      <c r="C139" s="182" t="s">
        <v>361</v>
      </c>
      <c r="D139" s="184">
        <v>15.63</v>
      </c>
      <c r="E139" s="182" t="s">
        <v>299</v>
      </c>
      <c r="K139" s="2"/>
      <c r="L139" s="183">
        <v>44862</v>
      </c>
      <c r="N139" s="15">
        <f>+O139</f>
        <v>44882</v>
      </c>
      <c r="O139" s="183">
        <v>44882</v>
      </c>
      <c r="P139" s="10">
        <f>+L139-N139</f>
        <v>-20</v>
      </c>
      <c r="Q139" s="10">
        <f>+N139-O139</f>
        <v>0</v>
      </c>
      <c r="R139" s="10">
        <f>+L139-O139</f>
        <v>-20</v>
      </c>
      <c r="S139" s="10">
        <f>+R139-30</f>
        <v>-50</v>
      </c>
      <c r="T139" s="8">
        <f>+Q139*D139</f>
        <v>0</v>
      </c>
      <c r="U139" s="8">
        <f>+S139*D139</f>
        <v>-781.5</v>
      </c>
      <c r="V139" s="118">
        <f>IF(Q139&gt;30,200+E139,100+E139)</f>
        <v>129</v>
      </c>
    </row>
    <row r="140" spans="1:22" ht="15" x14ac:dyDescent="0.25">
      <c r="A140" s="182" t="s">
        <v>362</v>
      </c>
      <c r="B140" s="183">
        <v>44865</v>
      </c>
      <c r="C140" s="182" t="s">
        <v>363</v>
      </c>
      <c r="D140" s="184">
        <v>364.96</v>
      </c>
      <c r="E140" s="182" t="s">
        <v>299</v>
      </c>
      <c r="K140" s="2"/>
      <c r="L140" s="183">
        <v>44865</v>
      </c>
      <c r="N140" s="15">
        <f>+O140</f>
        <v>44872</v>
      </c>
      <c r="O140" s="183">
        <v>44872</v>
      </c>
      <c r="P140" s="10">
        <f>+L140-N140</f>
        <v>-7</v>
      </c>
      <c r="Q140" s="10">
        <f>+N140-O140</f>
        <v>0</v>
      </c>
      <c r="R140" s="10">
        <f>+L140-O140</f>
        <v>-7</v>
      </c>
      <c r="S140" s="10">
        <f>+R140-30</f>
        <v>-37</v>
      </c>
      <c r="T140" s="8">
        <f>+Q140*D140</f>
        <v>0</v>
      </c>
      <c r="U140" s="8">
        <f>+S140*D140</f>
        <v>-13503.519999999999</v>
      </c>
      <c r="V140" s="118">
        <f>IF(Q140&gt;30,200+E140,100+E140)</f>
        <v>129</v>
      </c>
    </row>
    <row r="141" spans="1:22" ht="15" x14ac:dyDescent="0.25">
      <c r="A141" s="182" t="s">
        <v>364</v>
      </c>
      <c r="B141" s="183">
        <v>44866</v>
      </c>
      <c r="C141" s="182" t="s">
        <v>365</v>
      </c>
      <c r="D141" s="184">
        <v>136.59</v>
      </c>
      <c r="E141" s="182" t="s">
        <v>299</v>
      </c>
      <c r="K141" s="2"/>
      <c r="L141" s="183">
        <v>44866</v>
      </c>
      <c r="N141" s="15">
        <f>+O141</f>
        <v>44868</v>
      </c>
      <c r="O141" s="183">
        <v>44868</v>
      </c>
      <c r="P141" s="10">
        <f>+L141-N141</f>
        <v>-2</v>
      </c>
      <c r="Q141" s="10">
        <f>+N141-O141</f>
        <v>0</v>
      </c>
      <c r="R141" s="10">
        <f>+L141-O141</f>
        <v>-2</v>
      </c>
      <c r="S141" s="10">
        <f>+R141-30</f>
        <v>-32</v>
      </c>
      <c r="T141" s="8">
        <f>+Q141*D141</f>
        <v>0</v>
      </c>
      <c r="U141" s="8">
        <f>+S141*D141</f>
        <v>-4370.88</v>
      </c>
      <c r="V141" s="118">
        <f>IF(Q141&gt;30,200+E141,100+E141)</f>
        <v>129</v>
      </c>
    </row>
    <row r="142" spans="1:22" ht="15" x14ac:dyDescent="0.25">
      <c r="A142" s="182" t="s">
        <v>366</v>
      </c>
      <c r="B142" s="183">
        <v>44865</v>
      </c>
      <c r="C142" s="182" t="s">
        <v>367</v>
      </c>
      <c r="D142" s="184">
        <v>1108.17</v>
      </c>
      <c r="E142" s="182" t="s">
        <v>299</v>
      </c>
      <c r="K142" s="2"/>
      <c r="L142" s="183">
        <v>44865</v>
      </c>
      <c r="N142" s="15">
        <f>+O142</f>
        <v>44865</v>
      </c>
      <c r="O142" s="183">
        <v>44865</v>
      </c>
      <c r="P142" s="10">
        <f>+L142-N142</f>
        <v>0</v>
      </c>
      <c r="Q142" s="10">
        <f>+N142-O142</f>
        <v>0</v>
      </c>
      <c r="R142" s="10">
        <f>+L142-O142</f>
        <v>0</v>
      </c>
      <c r="S142" s="10">
        <f>+R142-30</f>
        <v>-30</v>
      </c>
      <c r="T142" s="8">
        <f>+Q142*D142</f>
        <v>0</v>
      </c>
      <c r="U142" s="8">
        <f>+S142*D142</f>
        <v>-33245.100000000006</v>
      </c>
      <c r="V142" s="118">
        <f>IF(Q142&gt;30,200+E142,100+E142)</f>
        <v>129</v>
      </c>
    </row>
    <row r="143" spans="1:22" ht="15" x14ac:dyDescent="0.25">
      <c r="A143" s="182" t="s">
        <v>368</v>
      </c>
      <c r="B143" s="183">
        <v>44865</v>
      </c>
      <c r="C143" s="182" t="s">
        <v>369</v>
      </c>
      <c r="D143" s="184">
        <v>1464.06</v>
      </c>
      <c r="E143" s="182" t="s">
        <v>299</v>
      </c>
      <c r="K143" s="2"/>
      <c r="L143" s="183">
        <v>44865</v>
      </c>
      <c r="N143" s="15">
        <f>+O143</f>
        <v>44865</v>
      </c>
      <c r="O143" s="183">
        <v>44865</v>
      </c>
      <c r="P143" s="10">
        <f>+L143-N143</f>
        <v>0</v>
      </c>
      <c r="Q143" s="10">
        <f>+N143-O143</f>
        <v>0</v>
      </c>
      <c r="R143" s="10">
        <f>+L143-O143</f>
        <v>0</v>
      </c>
      <c r="S143" s="10">
        <f>+R143-30</f>
        <v>-30</v>
      </c>
      <c r="T143" s="8">
        <f>+Q143*D143</f>
        <v>0</v>
      </c>
      <c r="U143" s="8">
        <f>+S143*D143</f>
        <v>-43921.799999999996</v>
      </c>
      <c r="V143" s="118">
        <f>IF(Q143&gt;30,200+E143,100+E143)</f>
        <v>129</v>
      </c>
    </row>
    <row r="144" spans="1:22" ht="15" x14ac:dyDescent="0.25">
      <c r="A144" s="182" t="s">
        <v>370</v>
      </c>
      <c r="B144" s="183">
        <v>44865</v>
      </c>
      <c r="C144" s="182" t="s">
        <v>371</v>
      </c>
      <c r="D144" s="184">
        <v>326.7</v>
      </c>
      <c r="E144" s="182" t="s">
        <v>299</v>
      </c>
      <c r="K144" s="2"/>
      <c r="L144" s="183">
        <v>44865</v>
      </c>
      <c r="N144" s="15">
        <f>+O144</f>
        <v>44879</v>
      </c>
      <c r="O144" s="183">
        <v>44879</v>
      </c>
      <c r="P144" s="10">
        <f>+L144-N144</f>
        <v>-14</v>
      </c>
      <c r="Q144" s="10">
        <f>+N144-O144</f>
        <v>0</v>
      </c>
      <c r="R144" s="10">
        <f>+L144-O144</f>
        <v>-14</v>
      </c>
      <c r="S144" s="10">
        <f>+R144-30</f>
        <v>-44</v>
      </c>
      <c r="T144" s="8">
        <f>+Q144*D144</f>
        <v>0</v>
      </c>
      <c r="U144" s="8">
        <f>+S144*D144</f>
        <v>-14374.8</v>
      </c>
      <c r="V144" s="118">
        <f>IF(Q144&gt;30,200+E144,100+E144)</f>
        <v>129</v>
      </c>
    </row>
    <row r="145" spans="1:22" ht="15" x14ac:dyDescent="0.25">
      <c r="A145" s="182" t="s">
        <v>372</v>
      </c>
      <c r="B145" s="183">
        <v>44865</v>
      </c>
      <c r="C145" s="182" t="s">
        <v>373</v>
      </c>
      <c r="D145" s="184">
        <v>653.4</v>
      </c>
      <c r="E145" s="182" t="s">
        <v>299</v>
      </c>
      <c r="K145" s="2"/>
      <c r="L145" s="183">
        <v>44865</v>
      </c>
      <c r="N145" s="15">
        <f>+O145</f>
        <v>44879</v>
      </c>
      <c r="O145" s="183">
        <v>44879</v>
      </c>
      <c r="P145" s="10">
        <f>+L145-N145</f>
        <v>-14</v>
      </c>
      <c r="Q145" s="10">
        <f>+N145-O145</f>
        <v>0</v>
      </c>
      <c r="R145" s="10">
        <f>+L145-O145</f>
        <v>-14</v>
      </c>
      <c r="S145" s="10">
        <f>+R145-30</f>
        <v>-44</v>
      </c>
      <c r="T145" s="8">
        <f>+Q145*D145</f>
        <v>0</v>
      </c>
      <c r="U145" s="8">
        <f>+S145*D145</f>
        <v>-28749.599999999999</v>
      </c>
      <c r="V145" s="118">
        <f>IF(Q145&gt;30,200+E145,100+E145)</f>
        <v>129</v>
      </c>
    </row>
    <row r="146" spans="1:22" ht="15" x14ac:dyDescent="0.25">
      <c r="A146" s="182" t="s">
        <v>374</v>
      </c>
      <c r="B146" s="183">
        <v>44866</v>
      </c>
      <c r="C146" s="182" t="s">
        <v>375</v>
      </c>
      <c r="D146" s="184">
        <v>124.03</v>
      </c>
      <c r="E146" s="182" t="s">
        <v>299</v>
      </c>
      <c r="K146" s="2"/>
      <c r="L146" s="183">
        <v>44866</v>
      </c>
      <c r="N146" s="15">
        <f>+O146</f>
        <v>44866</v>
      </c>
      <c r="O146" s="183">
        <v>44866</v>
      </c>
      <c r="P146" s="10">
        <f>+L146-N146</f>
        <v>0</v>
      </c>
      <c r="Q146" s="10">
        <f>+N146-O146</f>
        <v>0</v>
      </c>
      <c r="R146" s="10">
        <f>+L146-O146</f>
        <v>0</v>
      </c>
      <c r="S146" s="10">
        <f>+R146-30</f>
        <v>-30</v>
      </c>
      <c r="T146" s="8">
        <f>+Q146*D146</f>
        <v>0</v>
      </c>
      <c r="U146" s="8">
        <f>+S146*D146</f>
        <v>-3720.9</v>
      </c>
      <c r="V146" s="118">
        <f>IF(Q146&gt;30,200+E146,100+E146)</f>
        <v>129</v>
      </c>
    </row>
    <row r="147" spans="1:22" ht="15" x14ac:dyDescent="0.25">
      <c r="A147" s="182" t="s">
        <v>376</v>
      </c>
      <c r="B147" s="183">
        <v>44872</v>
      </c>
      <c r="C147" s="182" t="s">
        <v>377</v>
      </c>
      <c r="D147" s="184">
        <v>3932.5</v>
      </c>
      <c r="E147" s="182" t="s">
        <v>299</v>
      </c>
      <c r="K147" s="2"/>
      <c r="L147" s="183">
        <v>44872</v>
      </c>
      <c r="N147" s="15">
        <f>+O147</f>
        <v>44879</v>
      </c>
      <c r="O147" s="183">
        <v>44879</v>
      </c>
      <c r="P147" s="10">
        <f>+L147-N147</f>
        <v>-7</v>
      </c>
      <c r="Q147" s="10">
        <f>+N147-O147</f>
        <v>0</v>
      </c>
      <c r="R147" s="10">
        <f>+L147-O147</f>
        <v>-7</v>
      </c>
      <c r="S147" s="10">
        <f>+R147-30</f>
        <v>-37</v>
      </c>
      <c r="T147" s="8">
        <f>+Q147*D147</f>
        <v>0</v>
      </c>
      <c r="U147" s="8">
        <f>+S147*D147</f>
        <v>-145502.5</v>
      </c>
      <c r="V147" s="118">
        <f>IF(Q147&gt;30,200+E147,100+E147)</f>
        <v>129</v>
      </c>
    </row>
    <row r="148" spans="1:22" ht="15" x14ac:dyDescent="0.25">
      <c r="A148" s="182" t="s">
        <v>378</v>
      </c>
      <c r="B148" s="183">
        <v>44873</v>
      </c>
      <c r="C148" s="182" t="s">
        <v>379</v>
      </c>
      <c r="D148" s="184">
        <v>990</v>
      </c>
      <c r="E148" s="182" t="s">
        <v>299</v>
      </c>
      <c r="K148" s="2"/>
      <c r="L148" s="183">
        <v>44873</v>
      </c>
      <c r="N148" s="15">
        <f>+O148</f>
        <v>44874</v>
      </c>
      <c r="O148" s="183">
        <v>44874</v>
      </c>
      <c r="P148" s="10">
        <f>+L148-N148</f>
        <v>-1</v>
      </c>
      <c r="Q148" s="10">
        <f>+N148-O148</f>
        <v>0</v>
      </c>
      <c r="R148" s="10">
        <f>+L148-O148</f>
        <v>-1</v>
      </c>
      <c r="S148" s="10">
        <f>+R148-30</f>
        <v>-31</v>
      </c>
      <c r="T148" s="8">
        <f>+Q148*D148</f>
        <v>0</v>
      </c>
      <c r="U148" s="8">
        <f>+S148*D148</f>
        <v>-30690</v>
      </c>
      <c r="V148" s="118">
        <f>IF(Q148&gt;30,200+E148,100+E148)</f>
        <v>129</v>
      </c>
    </row>
    <row r="149" spans="1:22" ht="15" x14ac:dyDescent="0.25">
      <c r="A149" s="182" t="s">
        <v>380</v>
      </c>
      <c r="B149" s="183">
        <v>44873</v>
      </c>
      <c r="C149" s="182" t="s">
        <v>381</v>
      </c>
      <c r="D149" s="184">
        <v>500</v>
      </c>
      <c r="E149" s="182" t="s">
        <v>299</v>
      </c>
      <c r="K149" s="2"/>
      <c r="L149" s="183">
        <v>44873</v>
      </c>
      <c r="N149" s="15">
        <f>+O149</f>
        <v>44874</v>
      </c>
      <c r="O149" s="183">
        <v>44874</v>
      </c>
      <c r="P149" s="10">
        <f>+L149-N149</f>
        <v>-1</v>
      </c>
      <c r="Q149" s="10">
        <f>+N149-O149</f>
        <v>0</v>
      </c>
      <c r="R149" s="10">
        <f>+L149-O149</f>
        <v>-1</v>
      </c>
      <c r="S149" s="10">
        <f>+R149-30</f>
        <v>-31</v>
      </c>
      <c r="T149" s="8">
        <f>+Q149*D149</f>
        <v>0</v>
      </c>
      <c r="U149" s="8">
        <f>+S149*D149</f>
        <v>-15500</v>
      </c>
      <c r="V149" s="118">
        <f>IF(Q149&gt;30,200+E149,100+E149)</f>
        <v>129</v>
      </c>
    </row>
    <row r="150" spans="1:22" ht="15" x14ac:dyDescent="0.25">
      <c r="A150" s="182" t="s">
        <v>382</v>
      </c>
      <c r="B150" s="183">
        <v>44874</v>
      </c>
      <c r="C150" s="182" t="s">
        <v>383</v>
      </c>
      <c r="D150" s="184">
        <v>1331</v>
      </c>
      <c r="E150" s="182" t="s">
        <v>299</v>
      </c>
      <c r="K150" s="2"/>
      <c r="L150" s="183">
        <v>44874</v>
      </c>
      <c r="N150" s="15">
        <f>+O150</f>
        <v>44879</v>
      </c>
      <c r="O150" s="183">
        <v>44879</v>
      </c>
      <c r="P150" s="10">
        <f>+L150-N150</f>
        <v>-5</v>
      </c>
      <c r="Q150" s="10">
        <f>+N150-O150</f>
        <v>0</v>
      </c>
      <c r="R150" s="10">
        <f>+L150-O150</f>
        <v>-5</v>
      </c>
      <c r="S150" s="10">
        <f>+R150-30</f>
        <v>-35</v>
      </c>
      <c r="T150" s="8">
        <f>+Q150*D150</f>
        <v>0</v>
      </c>
      <c r="U150" s="8">
        <f>+S150*D150</f>
        <v>-46585</v>
      </c>
      <c r="V150" s="118">
        <f>IF(Q150&gt;30,200+E150,100+E150)</f>
        <v>129</v>
      </c>
    </row>
    <row r="151" spans="1:22" ht="15" x14ac:dyDescent="0.25">
      <c r="A151" s="182" t="s">
        <v>384</v>
      </c>
      <c r="B151" s="183">
        <v>44851</v>
      </c>
      <c r="C151" s="182" t="s">
        <v>385</v>
      </c>
      <c r="D151" s="184">
        <v>174.24</v>
      </c>
      <c r="E151" s="182" t="s">
        <v>299</v>
      </c>
      <c r="K151" s="2"/>
      <c r="L151" s="183">
        <v>44851</v>
      </c>
      <c r="N151" s="15">
        <f>+O151</f>
        <v>44879</v>
      </c>
      <c r="O151" s="183">
        <v>44879</v>
      </c>
      <c r="P151" s="10">
        <f>+L151-N151</f>
        <v>-28</v>
      </c>
      <c r="Q151" s="10">
        <f>+N151-O151</f>
        <v>0</v>
      </c>
      <c r="R151" s="10">
        <f>+L151-O151</f>
        <v>-28</v>
      </c>
      <c r="S151" s="10">
        <f>+R151-30</f>
        <v>-58</v>
      </c>
      <c r="T151" s="8">
        <f>+Q151*D151</f>
        <v>0</v>
      </c>
      <c r="U151" s="8">
        <f>+S151*D151</f>
        <v>-10105.92</v>
      </c>
      <c r="V151" s="118">
        <f>IF(Q151&gt;30,200+E151,100+E151)</f>
        <v>129</v>
      </c>
    </row>
    <row r="152" spans="1:22" ht="15" x14ac:dyDescent="0.25">
      <c r="A152" s="182" t="s">
        <v>386</v>
      </c>
      <c r="B152" s="183">
        <v>44862</v>
      </c>
      <c r="C152" s="182" t="s">
        <v>387</v>
      </c>
      <c r="D152" s="184">
        <v>52.64</v>
      </c>
      <c r="E152" s="182" t="s">
        <v>299</v>
      </c>
      <c r="K152" s="2"/>
      <c r="L152" s="183">
        <v>44862</v>
      </c>
      <c r="N152" s="15">
        <f>+O152</f>
        <v>44879</v>
      </c>
      <c r="O152" s="183">
        <v>44879</v>
      </c>
      <c r="P152" s="10">
        <f>+L152-N152</f>
        <v>-17</v>
      </c>
      <c r="Q152" s="10">
        <f>+N152-O152</f>
        <v>0</v>
      </c>
      <c r="R152" s="10">
        <f>+L152-O152</f>
        <v>-17</v>
      </c>
      <c r="S152" s="10">
        <f>+R152-30</f>
        <v>-47</v>
      </c>
      <c r="T152" s="8">
        <f>+Q152*D152</f>
        <v>0</v>
      </c>
      <c r="U152" s="8">
        <f>+S152*D152</f>
        <v>-2474.08</v>
      </c>
      <c r="V152" s="118">
        <f>IF(Q152&gt;30,200+E152,100+E152)</f>
        <v>129</v>
      </c>
    </row>
    <row r="153" spans="1:22" ht="15" x14ac:dyDescent="0.25">
      <c r="A153" s="182" t="s">
        <v>388</v>
      </c>
      <c r="B153" s="183">
        <v>44865</v>
      </c>
      <c r="C153" s="182" t="s">
        <v>389</v>
      </c>
      <c r="D153" s="184">
        <v>6.11</v>
      </c>
      <c r="E153" s="182" t="s">
        <v>299</v>
      </c>
      <c r="K153" s="2"/>
      <c r="L153" s="183">
        <v>44865</v>
      </c>
      <c r="N153" s="15">
        <f>+O153</f>
        <v>44895</v>
      </c>
      <c r="O153" s="183">
        <v>44895</v>
      </c>
      <c r="P153" s="10">
        <f>+L153-N153</f>
        <v>-30</v>
      </c>
      <c r="Q153" s="10">
        <f>+N153-O153</f>
        <v>0</v>
      </c>
      <c r="R153" s="10">
        <f>+L153-O153</f>
        <v>-30</v>
      </c>
      <c r="S153" s="10">
        <f>+R153-30</f>
        <v>-60</v>
      </c>
      <c r="T153" s="8">
        <f>+Q153*D153</f>
        <v>0</v>
      </c>
      <c r="U153" s="8">
        <f>+S153*D153</f>
        <v>-366.6</v>
      </c>
      <c r="V153" s="118">
        <f>IF(Q153&gt;30,200+E153,100+E153)</f>
        <v>129</v>
      </c>
    </row>
    <row r="154" spans="1:22" ht="15" x14ac:dyDescent="0.25">
      <c r="A154" s="182" t="s">
        <v>390</v>
      </c>
      <c r="B154" s="183">
        <v>44873</v>
      </c>
      <c r="C154" s="182" t="s">
        <v>391</v>
      </c>
      <c r="D154" s="184">
        <v>272.25</v>
      </c>
      <c r="E154" s="182" t="s">
        <v>299</v>
      </c>
      <c r="K154" s="2"/>
      <c r="L154" s="183">
        <v>44873</v>
      </c>
      <c r="N154" s="15">
        <f>+O154</f>
        <v>44879</v>
      </c>
      <c r="O154" s="183">
        <v>44879</v>
      </c>
      <c r="P154" s="10">
        <f>+L154-N154</f>
        <v>-6</v>
      </c>
      <c r="Q154" s="10">
        <f>+N154-O154</f>
        <v>0</v>
      </c>
      <c r="R154" s="10">
        <f>+L154-O154</f>
        <v>-6</v>
      </c>
      <c r="S154" s="10">
        <f>+R154-30</f>
        <v>-36</v>
      </c>
      <c r="T154" s="8">
        <f>+Q154*D154</f>
        <v>0</v>
      </c>
      <c r="U154" s="8">
        <f>+S154*D154</f>
        <v>-9801</v>
      </c>
      <c r="V154" s="118">
        <f>IF(Q154&gt;30,200+E154,100+E154)</f>
        <v>129</v>
      </c>
    </row>
    <row r="155" spans="1:22" ht="15" x14ac:dyDescent="0.25">
      <c r="A155" s="182" t="s">
        <v>392</v>
      </c>
      <c r="B155" s="183">
        <v>44865</v>
      </c>
      <c r="C155" s="182" t="s">
        <v>393</v>
      </c>
      <c r="D155" s="184">
        <v>210</v>
      </c>
      <c r="E155" s="182" t="s">
        <v>299</v>
      </c>
      <c r="K155" s="2"/>
      <c r="L155" s="183">
        <v>44865</v>
      </c>
      <c r="N155" s="15">
        <f>+O155</f>
        <v>44879</v>
      </c>
      <c r="O155" s="183">
        <v>44879</v>
      </c>
      <c r="P155" s="10">
        <f>+L155-N155</f>
        <v>-14</v>
      </c>
      <c r="Q155" s="10">
        <f>+N155-O155</f>
        <v>0</v>
      </c>
      <c r="R155" s="10">
        <f>+L155-O155</f>
        <v>-14</v>
      </c>
      <c r="S155" s="10">
        <f>+R155-30</f>
        <v>-44</v>
      </c>
      <c r="T155" s="8">
        <f>+Q155*D155</f>
        <v>0</v>
      </c>
      <c r="U155" s="8">
        <f>+S155*D155</f>
        <v>-9240</v>
      </c>
      <c r="V155" s="118">
        <f>IF(Q155&gt;30,200+E155,100+E155)</f>
        <v>129</v>
      </c>
    </row>
    <row r="156" spans="1:22" ht="15" x14ac:dyDescent="0.25">
      <c r="A156" s="182" t="s">
        <v>394</v>
      </c>
      <c r="B156" s="183">
        <v>44865</v>
      </c>
      <c r="C156" s="182" t="s">
        <v>395</v>
      </c>
      <c r="D156" s="184">
        <v>1376.5</v>
      </c>
      <c r="E156" s="182" t="s">
        <v>299</v>
      </c>
      <c r="K156" s="2"/>
      <c r="L156" s="183">
        <v>44865</v>
      </c>
      <c r="N156" s="15">
        <f>+O156</f>
        <v>44879</v>
      </c>
      <c r="O156" s="183">
        <v>44879</v>
      </c>
      <c r="P156" s="10">
        <f>+L156-N156</f>
        <v>-14</v>
      </c>
      <c r="Q156" s="10">
        <f>+N156-O156</f>
        <v>0</v>
      </c>
      <c r="R156" s="10">
        <f>+L156-O156</f>
        <v>-14</v>
      </c>
      <c r="S156" s="10">
        <f>+R156-30</f>
        <v>-44</v>
      </c>
      <c r="T156" s="8">
        <f>+Q156*D156</f>
        <v>0</v>
      </c>
      <c r="U156" s="8">
        <f>+S156*D156</f>
        <v>-60566</v>
      </c>
      <c r="V156" s="118">
        <f>IF(Q156&gt;30,200+E156,100+E156)</f>
        <v>129</v>
      </c>
    </row>
    <row r="157" spans="1:22" ht="15" x14ac:dyDescent="0.25">
      <c r="A157" s="182" t="s">
        <v>396</v>
      </c>
      <c r="B157" s="183">
        <v>44865</v>
      </c>
      <c r="C157" s="182" t="s">
        <v>397</v>
      </c>
      <c r="D157" s="184">
        <v>290.39999999999998</v>
      </c>
      <c r="E157" s="182" t="s">
        <v>299</v>
      </c>
      <c r="K157" s="2"/>
      <c r="L157" s="183">
        <v>44865</v>
      </c>
      <c r="N157" s="15">
        <f>+O157</f>
        <v>44879</v>
      </c>
      <c r="O157" s="183">
        <v>44879</v>
      </c>
      <c r="P157" s="10">
        <f>+L157-N157</f>
        <v>-14</v>
      </c>
      <c r="Q157" s="10">
        <f>+N157-O157</f>
        <v>0</v>
      </c>
      <c r="R157" s="10">
        <f>+L157-O157</f>
        <v>-14</v>
      </c>
      <c r="S157" s="10">
        <f>+R157-30</f>
        <v>-44</v>
      </c>
      <c r="T157" s="8">
        <f>+Q157*D157</f>
        <v>0</v>
      </c>
      <c r="U157" s="8">
        <f>+S157*D157</f>
        <v>-12777.599999999999</v>
      </c>
      <c r="V157" s="118">
        <f>IF(Q157&gt;30,200+E157,100+E157)</f>
        <v>129</v>
      </c>
    </row>
    <row r="158" spans="1:22" ht="15" x14ac:dyDescent="0.25">
      <c r="A158" s="182" t="s">
        <v>398</v>
      </c>
      <c r="B158" s="183">
        <v>44865</v>
      </c>
      <c r="C158" s="182" t="s">
        <v>399</v>
      </c>
      <c r="D158" s="184">
        <v>791.34</v>
      </c>
      <c r="E158" s="182" t="s">
        <v>299</v>
      </c>
      <c r="K158" s="2"/>
      <c r="L158" s="183">
        <v>44865</v>
      </c>
      <c r="N158" s="15">
        <f>+O158</f>
        <v>44879</v>
      </c>
      <c r="O158" s="183">
        <v>44879</v>
      </c>
      <c r="P158" s="10">
        <f>+L158-N158</f>
        <v>-14</v>
      </c>
      <c r="Q158" s="10">
        <f>+N158-O158</f>
        <v>0</v>
      </c>
      <c r="R158" s="10">
        <f>+L158-O158</f>
        <v>-14</v>
      </c>
      <c r="S158" s="10">
        <f>+R158-30</f>
        <v>-44</v>
      </c>
      <c r="T158" s="8">
        <f>+Q158*D158</f>
        <v>0</v>
      </c>
      <c r="U158" s="8">
        <f>+S158*D158</f>
        <v>-34818.959999999999</v>
      </c>
      <c r="V158" s="118">
        <f>IF(Q158&gt;30,200+E158,100+E158)</f>
        <v>129</v>
      </c>
    </row>
    <row r="159" spans="1:22" ht="15" x14ac:dyDescent="0.25">
      <c r="A159" s="182" t="s">
        <v>400</v>
      </c>
      <c r="B159" s="183">
        <v>44865</v>
      </c>
      <c r="C159" s="182" t="s">
        <v>401</v>
      </c>
      <c r="D159" s="184">
        <v>968.44</v>
      </c>
      <c r="E159" s="182" t="s">
        <v>299</v>
      </c>
      <c r="K159" s="2"/>
      <c r="L159" s="183">
        <v>44865</v>
      </c>
      <c r="N159" s="15">
        <f>+O159</f>
        <v>44879</v>
      </c>
      <c r="O159" s="183">
        <v>44879</v>
      </c>
      <c r="P159" s="10">
        <f>+L159-N159</f>
        <v>-14</v>
      </c>
      <c r="Q159" s="10">
        <f>+N159-O159</f>
        <v>0</v>
      </c>
      <c r="R159" s="10">
        <f>+L159-O159</f>
        <v>-14</v>
      </c>
      <c r="S159" s="10">
        <f>+R159-30</f>
        <v>-44</v>
      </c>
      <c r="T159" s="8">
        <f>+Q159*D159</f>
        <v>0</v>
      </c>
      <c r="U159" s="8">
        <f>+S159*D159</f>
        <v>-42611.360000000001</v>
      </c>
      <c r="V159" s="118">
        <f>IF(Q159&gt;30,200+E159,100+E159)</f>
        <v>129</v>
      </c>
    </row>
    <row r="160" spans="1:22" ht="15" x14ac:dyDescent="0.25">
      <c r="A160" s="182" t="s">
        <v>402</v>
      </c>
      <c r="B160" s="183">
        <v>44865</v>
      </c>
      <c r="C160" s="182" t="s">
        <v>403</v>
      </c>
      <c r="D160" s="184">
        <v>644.20000000000005</v>
      </c>
      <c r="E160" s="182" t="s">
        <v>299</v>
      </c>
      <c r="K160" s="2"/>
      <c r="L160" s="183">
        <v>44865</v>
      </c>
      <c r="N160" s="15">
        <f>+O160</f>
        <v>44865</v>
      </c>
      <c r="O160" s="183">
        <v>44865</v>
      </c>
      <c r="P160" s="10">
        <f>+L160-N160</f>
        <v>0</v>
      </c>
      <c r="Q160" s="10">
        <f>+N160-O160</f>
        <v>0</v>
      </c>
      <c r="R160" s="10">
        <f>+L160-O160</f>
        <v>0</v>
      </c>
      <c r="S160" s="10">
        <f>+R160-30</f>
        <v>-30</v>
      </c>
      <c r="T160" s="8">
        <f>+Q160*D160</f>
        <v>0</v>
      </c>
      <c r="U160" s="8">
        <f>+S160*D160</f>
        <v>-19326</v>
      </c>
      <c r="V160" s="118">
        <f>IF(Q160&gt;30,200+E160,100+E160)</f>
        <v>129</v>
      </c>
    </row>
    <row r="161" spans="1:22" ht="15" x14ac:dyDescent="0.25">
      <c r="A161" s="182" t="s">
        <v>404</v>
      </c>
      <c r="B161" s="183">
        <v>44872</v>
      </c>
      <c r="C161" s="182" t="s">
        <v>405</v>
      </c>
      <c r="D161" s="184">
        <v>34.85</v>
      </c>
      <c r="E161" s="182" t="s">
        <v>299</v>
      </c>
      <c r="K161" s="2"/>
      <c r="L161" s="183">
        <v>44872</v>
      </c>
      <c r="N161" s="15">
        <f>+O161</f>
        <v>44879</v>
      </c>
      <c r="O161" s="183">
        <v>44879</v>
      </c>
      <c r="P161" s="10">
        <f>+L161-N161</f>
        <v>-7</v>
      </c>
      <c r="Q161" s="10">
        <f>+N161-O161</f>
        <v>0</v>
      </c>
      <c r="R161" s="10">
        <f>+L161-O161</f>
        <v>-7</v>
      </c>
      <c r="S161" s="10">
        <f>+R161-30</f>
        <v>-37</v>
      </c>
      <c r="T161" s="8">
        <f>+Q161*D161</f>
        <v>0</v>
      </c>
      <c r="U161" s="8">
        <f>+S161*D161</f>
        <v>-1289.45</v>
      </c>
      <c r="V161" s="118">
        <f>IF(Q161&gt;30,200+E161,100+E161)</f>
        <v>129</v>
      </c>
    </row>
    <row r="162" spans="1:22" ht="15" x14ac:dyDescent="0.25">
      <c r="A162" s="182" t="s">
        <v>406</v>
      </c>
      <c r="B162" s="183">
        <v>44874</v>
      </c>
      <c r="C162" s="182" t="s">
        <v>407</v>
      </c>
      <c r="D162" s="184">
        <v>568.70000000000005</v>
      </c>
      <c r="E162" s="182" t="s">
        <v>299</v>
      </c>
      <c r="K162" s="2"/>
      <c r="L162" s="183">
        <v>44874</v>
      </c>
      <c r="N162" s="15">
        <f>+O162</f>
        <v>44879</v>
      </c>
      <c r="O162" s="183">
        <v>44879</v>
      </c>
      <c r="P162" s="10">
        <f>+L162-N162</f>
        <v>-5</v>
      </c>
      <c r="Q162" s="10">
        <f>+N162-O162</f>
        <v>0</v>
      </c>
      <c r="R162" s="10">
        <f>+L162-O162</f>
        <v>-5</v>
      </c>
      <c r="S162" s="10">
        <f>+R162-30</f>
        <v>-35</v>
      </c>
      <c r="T162" s="8">
        <f>+Q162*D162</f>
        <v>0</v>
      </c>
      <c r="U162" s="8">
        <f>+S162*D162</f>
        <v>-19904.5</v>
      </c>
      <c r="V162" s="118">
        <f>IF(Q162&gt;30,200+E162,100+E162)</f>
        <v>129</v>
      </c>
    </row>
    <row r="163" spans="1:22" ht="15" x14ac:dyDescent="0.25">
      <c r="A163" s="182" t="s">
        <v>408</v>
      </c>
      <c r="B163" s="183">
        <v>44876</v>
      </c>
      <c r="C163" s="182" t="s">
        <v>409</v>
      </c>
      <c r="D163" s="184">
        <v>561.44000000000005</v>
      </c>
      <c r="E163" s="182" t="s">
        <v>299</v>
      </c>
      <c r="K163" s="2"/>
      <c r="L163" s="183">
        <v>44876</v>
      </c>
      <c r="N163" s="15">
        <f>+O163</f>
        <v>44879</v>
      </c>
      <c r="O163" s="183">
        <v>44879</v>
      </c>
      <c r="P163" s="10">
        <f>+L163-N163</f>
        <v>-3</v>
      </c>
      <c r="Q163" s="10">
        <f>+N163-O163</f>
        <v>0</v>
      </c>
      <c r="R163" s="10">
        <f>+L163-O163</f>
        <v>-3</v>
      </c>
      <c r="S163" s="10">
        <f>+R163-30</f>
        <v>-33</v>
      </c>
      <c r="T163" s="8">
        <f>+Q163*D163</f>
        <v>0</v>
      </c>
      <c r="U163" s="8">
        <f>+S163*D163</f>
        <v>-18527.52</v>
      </c>
      <c r="V163" s="118">
        <f>IF(Q163&gt;30,200+E163,100+E163)</f>
        <v>129</v>
      </c>
    </row>
    <row r="164" spans="1:22" ht="15" x14ac:dyDescent="0.25">
      <c r="A164" s="182" t="s">
        <v>410</v>
      </c>
      <c r="B164" s="183">
        <v>44874</v>
      </c>
      <c r="C164" s="182" t="s">
        <v>411</v>
      </c>
      <c r="D164" s="184">
        <v>6296.84</v>
      </c>
      <c r="E164" s="182" t="s">
        <v>299</v>
      </c>
      <c r="K164" s="2"/>
      <c r="L164" s="183">
        <v>44874</v>
      </c>
      <c r="N164" s="15">
        <f>+O164</f>
        <v>44879</v>
      </c>
      <c r="O164" s="183">
        <v>44879</v>
      </c>
      <c r="P164" s="10">
        <f>+L164-N164</f>
        <v>-5</v>
      </c>
      <c r="Q164" s="10">
        <f>+N164-O164</f>
        <v>0</v>
      </c>
      <c r="R164" s="10">
        <f>+L164-O164</f>
        <v>-5</v>
      </c>
      <c r="S164" s="10">
        <f>+R164-30</f>
        <v>-35</v>
      </c>
      <c r="T164" s="8">
        <f>+Q164*D164</f>
        <v>0</v>
      </c>
      <c r="U164" s="8">
        <f>+S164*D164</f>
        <v>-220389.4</v>
      </c>
      <c r="V164" s="118">
        <f>IF(Q164&gt;30,200+E164,100+E164)</f>
        <v>129</v>
      </c>
    </row>
    <row r="165" spans="1:22" ht="15" x14ac:dyDescent="0.25">
      <c r="A165" s="182" t="s">
        <v>412</v>
      </c>
      <c r="B165" s="183">
        <v>44874</v>
      </c>
      <c r="C165" s="182" t="s">
        <v>413</v>
      </c>
      <c r="D165" s="184">
        <v>1234.2</v>
      </c>
      <c r="E165" s="182" t="s">
        <v>299</v>
      </c>
      <c r="K165" s="2"/>
      <c r="L165" s="183">
        <v>44874</v>
      </c>
      <c r="N165" s="15">
        <f>+O165</f>
        <v>44879</v>
      </c>
      <c r="O165" s="183">
        <v>44879</v>
      </c>
      <c r="P165" s="10">
        <f>+L165-N165</f>
        <v>-5</v>
      </c>
      <c r="Q165" s="10">
        <f>+N165-O165</f>
        <v>0</v>
      </c>
      <c r="R165" s="10">
        <f>+L165-O165</f>
        <v>-5</v>
      </c>
      <c r="S165" s="10">
        <f>+R165-30</f>
        <v>-35</v>
      </c>
      <c r="T165" s="8">
        <f>+Q165*D165</f>
        <v>0</v>
      </c>
      <c r="U165" s="8">
        <f>+S165*D165</f>
        <v>-43197</v>
      </c>
      <c r="V165" s="118">
        <f>IF(Q165&gt;30,200+E165,100+E165)</f>
        <v>129</v>
      </c>
    </row>
    <row r="166" spans="1:22" ht="15" x14ac:dyDescent="0.25">
      <c r="A166" s="182" t="s">
        <v>414</v>
      </c>
      <c r="B166" s="183">
        <v>44875</v>
      </c>
      <c r="C166" s="182" t="s">
        <v>415</v>
      </c>
      <c r="D166" s="184">
        <v>4821.72</v>
      </c>
      <c r="E166" s="182" t="s">
        <v>299</v>
      </c>
      <c r="K166" s="2"/>
      <c r="L166" s="183">
        <v>44875</v>
      </c>
      <c r="N166" s="15">
        <f>+O166</f>
        <v>44879</v>
      </c>
      <c r="O166" s="183">
        <v>44879</v>
      </c>
      <c r="P166" s="10">
        <f>+L166-N166</f>
        <v>-4</v>
      </c>
      <c r="Q166" s="10">
        <f>+N166-O166</f>
        <v>0</v>
      </c>
      <c r="R166" s="10">
        <f>+L166-O166</f>
        <v>-4</v>
      </c>
      <c r="S166" s="10">
        <f>+R166-30</f>
        <v>-34</v>
      </c>
      <c r="T166" s="8">
        <f>+Q166*D166</f>
        <v>0</v>
      </c>
      <c r="U166" s="8">
        <f>+S166*D166</f>
        <v>-163938.48000000001</v>
      </c>
      <c r="V166" s="118">
        <f>IF(Q166&gt;30,200+E166,100+E166)</f>
        <v>129</v>
      </c>
    </row>
    <row r="167" spans="1:22" ht="15" x14ac:dyDescent="0.25">
      <c r="A167" s="182" t="s">
        <v>416</v>
      </c>
      <c r="B167" s="183">
        <v>44865</v>
      </c>
      <c r="C167" s="182" t="s">
        <v>417</v>
      </c>
      <c r="D167" s="184">
        <v>606</v>
      </c>
      <c r="E167" s="182" t="s">
        <v>299</v>
      </c>
      <c r="K167" s="2"/>
      <c r="L167" s="183">
        <v>44865</v>
      </c>
      <c r="N167" s="15">
        <f>+O167</f>
        <v>44879</v>
      </c>
      <c r="O167" s="183">
        <v>44879</v>
      </c>
      <c r="P167" s="10">
        <f>+L167-N167</f>
        <v>-14</v>
      </c>
      <c r="Q167" s="10">
        <f>+N167-O167</f>
        <v>0</v>
      </c>
      <c r="R167" s="10">
        <f>+L167-O167</f>
        <v>-14</v>
      </c>
      <c r="S167" s="10">
        <f>+R167-30</f>
        <v>-44</v>
      </c>
      <c r="T167" s="8">
        <f>+Q167*D167</f>
        <v>0</v>
      </c>
      <c r="U167" s="8">
        <f>+S167*D167</f>
        <v>-26664</v>
      </c>
      <c r="V167" s="118">
        <f>IF(Q167&gt;30,200+E167,100+E167)</f>
        <v>129</v>
      </c>
    </row>
    <row r="168" spans="1:22" ht="15" x14ac:dyDescent="0.25">
      <c r="A168" s="182" t="s">
        <v>418</v>
      </c>
      <c r="B168" s="183">
        <v>44874</v>
      </c>
      <c r="C168" s="182" t="s">
        <v>419</v>
      </c>
      <c r="D168" s="184">
        <v>5154.6000000000004</v>
      </c>
      <c r="E168" s="182" t="s">
        <v>299</v>
      </c>
      <c r="K168" s="2"/>
      <c r="L168" s="183">
        <v>44874</v>
      </c>
      <c r="N168" s="15">
        <f>+O168</f>
        <v>44880</v>
      </c>
      <c r="O168" s="183">
        <v>44880</v>
      </c>
      <c r="P168" s="10">
        <f>+L168-N168</f>
        <v>-6</v>
      </c>
      <c r="Q168" s="10">
        <f>+N168-O168</f>
        <v>0</v>
      </c>
      <c r="R168" s="10">
        <f>+L168-O168</f>
        <v>-6</v>
      </c>
      <c r="S168" s="10">
        <f>+R168-30</f>
        <v>-36</v>
      </c>
      <c r="T168" s="8">
        <f>+Q168*D168</f>
        <v>0</v>
      </c>
      <c r="U168" s="8">
        <f>+S168*D168</f>
        <v>-185565.6</v>
      </c>
      <c r="V168" s="118">
        <f>IF(Q168&gt;30,200+E168,100+E168)</f>
        <v>129</v>
      </c>
    </row>
    <row r="169" spans="1:22" ht="15" x14ac:dyDescent="0.25">
      <c r="A169" s="182" t="s">
        <v>420</v>
      </c>
      <c r="B169" s="183">
        <v>44876</v>
      </c>
      <c r="C169" s="182" t="s">
        <v>421</v>
      </c>
      <c r="D169" s="184">
        <v>435.6</v>
      </c>
      <c r="E169" s="182" t="s">
        <v>299</v>
      </c>
      <c r="K169" s="2"/>
      <c r="L169" s="183">
        <v>44876</v>
      </c>
      <c r="N169" s="15">
        <f>+O169</f>
        <v>44882</v>
      </c>
      <c r="O169" s="183">
        <v>44882</v>
      </c>
      <c r="P169" s="10">
        <f>+L169-N169</f>
        <v>-6</v>
      </c>
      <c r="Q169" s="10">
        <f>+N169-O169</f>
        <v>0</v>
      </c>
      <c r="R169" s="10">
        <f>+L169-O169</f>
        <v>-6</v>
      </c>
      <c r="S169" s="10">
        <f>+R169-30</f>
        <v>-36</v>
      </c>
      <c r="T169" s="8">
        <f>+Q169*D169</f>
        <v>0</v>
      </c>
      <c r="U169" s="8">
        <f>+S169*D169</f>
        <v>-15681.6</v>
      </c>
      <c r="V169" s="118">
        <f>IF(Q169&gt;30,200+E169,100+E169)</f>
        <v>129</v>
      </c>
    </row>
    <row r="170" spans="1:22" ht="15" x14ac:dyDescent="0.25">
      <c r="A170" s="182" t="s">
        <v>422</v>
      </c>
      <c r="B170" s="183">
        <v>44849</v>
      </c>
      <c r="C170" s="182" t="s">
        <v>423</v>
      </c>
      <c r="D170" s="184">
        <v>39.4</v>
      </c>
      <c r="E170" s="182" t="s">
        <v>299</v>
      </c>
      <c r="K170" s="2"/>
      <c r="L170" s="183">
        <v>44849</v>
      </c>
      <c r="N170" s="15">
        <f>+O170</f>
        <v>44852</v>
      </c>
      <c r="O170" s="183">
        <v>44852</v>
      </c>
      <c r="P170" s="10">
        <f>+L170-N170</f>
        <v>-3</v>
      </c>
      <c r="Q170" s="10">
        <f>+N170-O170</f>
        <v>0</v>
      </c>
      <c r="R170" s="10">
        <f>+L170-O170</f>
        <v>-3</v>
      </c>
      <c r="S170" s="10">
        <f>+R170-30</f>
        <v>-33</v>
      </c>
      <c r="T170" s="8">
        <f>+Q170*D170</f>
        <v>0</v>
      </c>
      <c r="U170" s="8">
        <f>+S170*D170</f>
        <v>-1300.2</v>
      </c>
      <c r="V170" s="118">
        <f>IF(Q170&gt;30,200+E170,100+E170)</f>
        <v>129</v>
      </c>
    </row>
    <row r="171" spans="1:22" ht="15" x14ac:dyDescent="0.25">
      <c r="A171" s="182" t="s">
        <v>424</v>
      </c>
      <c r="B171" s="183">
        <v>44849</v>
      </c>
      <c r="C171" s="182" t="s">
        <v>425</v>
      </c>
      <c r="D171" s="184">
        <v>105.68</v>
      </c>
      <c r="E171" s="182" t="s">
        <v>299</v>
      </c>
      <c r="K171" s="2"/>
      <c r="L171" s="183">
        <v>44849</v>
      </c>
      <c r="N171" s="15">
        <f>+O171</f>
        <v>44854</v>
      </c>
      <c r="O171" s="183">
        <v>44854</v>
      </c>
      <c r="P171" s="10">
        <f>+L171-N171</f>
        <v>-5</v>
      </c>
      <c r="Q171" s="10">
        <f>+N171-O171</f>
        <v>0</v>
      </c>
      <c r="R171" s="10">
        <f>+L171-O171</f>
        <v>-5</v>
      </c>
      <c r="S171" s="10">
        <f>+R171-30</f>
        <v>-35</v>
      </c>
      <c r="T171" s="8">
        <f>+Q171*D171</f>
        <v>0</v>
      </c>
      <c r="U171" s="8">
        <f>+S171*D171</f>
        <v>-3698.8</v>
      </c>
      <c r="V171" s="118">
        <f>IF(Q171&gt;30,200+E171,100+E171)</f>
        <v>129</v>
      </c>
    </row>
    <row r="172" spans="1:22" ht="15" x14ac:dyDescent="0.25">
      <c r="A172" s="182" t="s">
        <v>426</v>
      </c>
      <c r="B172" s="183">
        <v>44880</v>
      </c>
      <c r="C172" s="182" t="s">
        <v>427</v>
      </c>
      <c r="D172" s="184">
        <v>39.4</v>
      </c>
      <c r="E172" s="182" t="s">
        <v>299</v>
      </c>
      <c r="K172" s="2"/>
      <c r="L172" s="183">
        <v>44880</v>
      </c>
      <c r="N172" s="15">
        <f>+O172</f>
        <v>44883</v>
      </c>
      <c r="O172" s="183">
        <v>44883</v>
      </c>
      <c r="P172" s="10">
        <f>+L172-N172</f>
        <v>-3</v>
      </c>
      <c r="Q172" s="10">
        <f>+N172-O172</f>
        <v>0</v>
      </c>
      <c r="R172" s="10">
        <f>+L172-O172</f>
        <v>-3</v>
      </c>
      <c r="S172" s="10">
        <f>+R172-30</f>
        <v>-33</v>
      </c>
      <c r="T172" s="8">
        <f>+Q172*D172</f>
        <v>0</v>
      </c>
      <c r="U172" s="8">
        <f>+S172*D172</f>
        <v>-1300.2</v>
      </c>
      <c r="V172" s="118">
        <f>IF(Q172&gt;30,200+E172,100+E172)</f>
        <v>129</v>
      </c>
    </row>
    <row r="173" spans="1:22" ht="15" x14ac:dyDescent="0.25">
      <c r="A173" s="182" t="s">
        <v>428</v>
      </c>
      <c r="B173" s="183">
        <v>44880</v>
      </c>
      <c r="C173" s="182" t="s">
        <v>429</v>
      </c>
      <c r="D173" s="184">
        <v>94.5</v>
      </c>
      <c r="E173" s="182" t="s">
        <v>299</v>
      </c>
      <c r="K173" s="2"/>
      <c r="L173" s="183">
        <v>44880</v>
      </c>
      <c r="N173" s="15">
        <f>+O173</f>
        <v>44883</v>
      </c>
      <c r="O173" s="183">
        <v>44883</v>
      </c>
      <c r="P173" s="10">
        <f>+L173-N173</f>
        <v>-3</v>
      </c>
      <c r="Q173" s="10">
        <f>+N173-O173</f>
        <v>0</v>
      </c>
      <c r="R173" s="10">
        <f>+L173-O173</f>
        <v>-3</v>
      </c>
      <c r="S173" s="10">
        <f>+R173-30</f>
        <v>-33</v>
      </c>
      <c r="T173" s="8">
        <f>+Q173*D173</f>
        <v>0</v>
      </c>
      <c r="U173" s="8">
        <f>+S173*D173</f>
        <v>-3118.5</v>
      </c>
      <c r="V173" s="118">
        <f>IF(Q173&gt;30,200+E173,100+E173)</f>
        <v>129</v>
      </c>
    </row>
    <row r="174" spans="1:22" ht="15" x14ac:dyDescent="0.25">
      <c r="A174" s="182" t="s">
        <v>430</v>
      </c>
      <c r="B174" s="183">
        <v>44886</v>
      </c>
      <c r="C174" s="182" t="s">
        <v>431</v>
      </c>
      <c r="D174" s="184">
        <v>500</v>
      </c>
      <c r="E174" s="182" t="s">
        <v>299</v>
      </c>
      <c r="K174" s="2"/>
      <c r="L174" s="183">
        <v>44886</v>
      </c>
      <c r="N174" s="15">
        <f>+O174</f>
        <v>44894</v>
      </c>
      <c r="O174" s="183">
        <v>44894</v>
      </c>
      <c r="P174" s="10">
        <f>+L174-N174</f>
        <v>-8</v>
      </c>
      <c r="Q174" s="10">
        <f>+N174-O174</f>
        <v>0</v>
      </c>
      <c r="R174" s="10">
        <f>+L174-O174</f>
        <v>-8</v>
      </c>
      <c r="S174" s="10">
        <f>+R174-30</f>
        <v>-38</v>
      </c>
      <c r="T174" s="8">
        <f>+Q174*D174</f>
        <v>0</v>
      </c>
      <c r="U174" s="8">
        <f>+S174*D174</f>
        <v>-19000</v>
      </c>
      <c r="V174" s="118">
        <f>IF(Q174&gt;30,200+E174,100+E174)</f>
        <v>129</v>
      </c>
    </row>
    <row r="175" spans="1:22" ht="15" x14ac:dyDescent="0.25">
      <c r="A175" s="182" t="s">
        <v>432</v>
      </c>
      <c r="B175" s="183">
        <v>44884</v>
      </c>
      <c r="C175" s="182" t="s">
        <v>433</v>
      </c>
      <c r="D175" s="184">
        <v>30.89</v>
      </c>
      <c r="E175" s="182" t="s">
        <v>299</v>
      </c>
      <c r="K175" s="2"/>
      <c r="L175" s="183">
        <v>44884</v>
      </c>
      <c r="N175" s="15">
        <f>+O175</f>
        <v>44888</v>
      </c>
      <c r="O175" s="183">
        <v>44888</v>
      </c>
      <c r="P175" s="10">
        <f>+L175-N175</f>
        <v>-4</v>
      </c>
      <c r="Q175" s="10">
        <f>+N175-O175</f>
        <v>0</v>
      </c>
      <c r="R175" s="10">
        <f>+L175-O175</f>
        <v>-4</v>
      </c>
      <c r="S175" s="10">
        <f>+R175-30</f>
        <v>-34</v>
      </c>
      <c r="T175" s="8">
        <f>+Q175*D175</f>
        <v>0</v>
      </c>
      <c r="U175" s="8">
        <f>+S175*D175</f>
        <v>-1050.26</v>
      </c>
      <c r="V175" s="118">
        <f>IF(Q175&gt;30,200+E175,100+E175)</f>
        <v>129</v>
      </c>
    </row>
    <row r="176" spans="1:22" ht="15" x14ac:dyDescent="0.25">
      <c r="A176" s="182" t="s">
        <v>434</v>
      </c>
      <c r="B176" s="183">
        <v>44888</v>
      </c>
      <c r="C176" s="182" t="s">
        <v>435</v>
      </c>
      <c r="D176" s="184">
        <v>43.63</v>
      </c>
      <c r="E176" s="182" t="s">
        <v>299</v>
      </c>
      <c r="K176" s="2"/>
      <c r="L176" s="183">
        <v>44888</v>
      </c>
      <c r="N176" s="15">
        <f>+O176</f>
        <v>44896</v>
      </c>
      <c r="O176" s="183">
        <v>44896</v>
      </c>
      <c r="P176" s="10">
        <f>+L176-N176</f>
        <v>-8</v>
      </c>
      <c r="Q176" s="10">
        <f>+N176-O176</f>
        <v>0</v>
      </c>
      <c r="R176" s="10">
        <f>+L176-O176</f>
        <v>-8</v>
      </c>
      <c r="S176" s="10">
        <f>+R176-30</f>
        <v>-38</v>
      </c>
      <c r="T176" s="8">
        <f>+Q176*D176</f>
        <v>0</v>
      </c>
      <c r="U176" s="8">
        <f>+S176*D176</f>
        <v>-1657.94</v>
      </c>
      <c r="V176" s="118">
        <f>IF(Q176&gt;30,200+E176,100+E176)</f>
        <v>129</v>
      </c>
    </row>
    <row r="177" spans="1:22" ht="15" x14ac:dyDescent="0.25">
      <c r="A177" s="182" t="s">
        <v>436</v>
      </c>
      <c r="B177" s="183">
        <v>44889</v>
      </c>
      <c r="C177" s="182" t="s">
        <v>437</v>
      </c>
      <c r="D177" s="184">
        <v>43.63</v>
      </c>
      <c r="E177" s="182" t="s">
        <v>299</v>
      </c>
      <c r="K177" s="2"/>
      <c r="L177" s="183">
        <v>44889</v>
      </c>
      <c r="N177" s="15">
        <f>+O177</f>
        <v>44896</v>
      </c>
      <c r="O177" s="183">
        <v>44896</v>
      </c>
      <c r="P177" s="10">
        <f>+L177-N177</f>
        <v>-7</v>
      </c>
      <c r="Q177" s="10">
        <f>+N177-O177</f>
        <v>0</v>
      </c>
      <c r="R177" s="10">
        <f>+L177-O177</f>
        <v>-7</v>
      </c>
      <c r="S177" s="10">
        <f>+R177-30</f>
        <v>-37</v>
      </c>
      <c r="T177" s="8">
        <f>+Q177*D177</f>
        <v>0</v>
      </c>
      <c r="U177" s="8">
        <f>+S177*D177</f>
        <v>-1614.3100000000002</v>
      </c>
      <c r="V177" s="118">
        <f>IF(Q177&gt;30,200+E177,100+E177)</f>
        <v>129</v>
      </c>
    </row>
    <row r="178" spans="1:22" ht="15" x14ac:dyDescent="0.25">
      <c r="A178" s="182" t="s">
        <v>438</v>
      </c>
      <c r="B178" s="183">
        <v>44895</v>
      </c>
      <c r="C178" s="182" t="s">
        <v>439</v>
      </c>
      <c r="D178" s="184">
        <v>424.06</v>
      </c>
      <c r="E178" s="182" t="s">
        <v>299</v>
      </c>
      <c r="K178" s="2"/>
      <c r="L178" s="183">
        <v>44895</v>
      </c>
      <c r="N178" s="15">
        <f>+O178</f>
        <v>44894</v>
      </c>
      <c r="O178" s="183">
        <v>44894</v>
      </c>
      <c r="P178" s="10">
        <f>+L178-N178</f>
        <v>1</v>
      </c>
      <c r="Q178" s="10">
        <f>+N178-O178</f>
        <v>0</v>
      </c>
      <c r="R178" s="10">
        <f>+L178-O178</f>
        <v>1</v>
      </c>
      <c r="S178" s="10">
        <f>+R178-30</f>
        <v>-29</v>
      </c>
      <c r="T178" s="8">
        <f>+Q178*D178</f>
        <v>0</v>
      </c>
      <c r="U178" s="8">
        <f>+S178*D178</f>
        <v>-12297.74</v>
      </c>
      <c r="V178" s="118">
        <f>IF(Q178&gt;30,200+E178,100+E178)</f>
        <v>129</v>
      </c>
    </row>
    <row r="179" spans="1:22" ht="15" x14ac:dyDescent="0.25">
      <c r="A179" s="182" t="s">
        <v>440</v>
      </c>
      <c r="B179" s="183">
        <v>44890</v>
      </c>
      <c r="C179" s="182" t="s">
        <v>441</v>
      </c>
      <c r="D179" s="184">
        <v>600</v>
      </c>
      <c r="E179" s="182" t="s">
        <v>299</v>
      </c>
      <c r="K179" s="2"/>
      <c r="L179" s="183">
        <v>44890</v>
      </c>
      <c r="N179" s="15">
        <f>+O179</f>
        <v>44894</v>
      </c>
      <c r="O179" s="183">
        <v>44894</v>
      </c>
      <c r="P179" s="10">
        <f>+L179-N179</f>
        <v>-4</v>
      </c>
      <c r="Q179" s="10">
        <f>+N179-O179</f>
        <v>0</v>
      </c>
      <c r="R179" s="10">
        <f>+L179-O179</f>
        <v>-4</v>
      </c>
      <c r="S179" s="10">
        <f>+R179-30</f>
        <v>-34</v>
      </c>
      <c r="T179" s="8">
        <f>+Q179*D179</f>
        <v>0</v>
      </c>
      <c r="U179" s="8">
        <f>+S179*D179</f>
        <v>-20400</v>
      </c>
      <c r="V179" s="118">
        <f>IF(Q179&gt;30,200+E179,100+E179)</f>
        <v>129</v>
      </c>
    </row>
    <row r="180" spans="1:22" ht="15" x14ac:dyDescent="0.25">
      <c r="A180" s="182" t="s">
        <v>442</v>
      </c>
      <c r="B180" s="183">
        <v>44893</v>
      </c>
      <c r="C180" s="182" t="s">
        <v>443</v>
      </c>
      <c r="D180" s="184">
        <v>25.08</v>
      </c>
      <c r="E180" s="182" t="s">
        <v>299</v>
      </c>
      <c r="K180" s="2"/>
      <c r="L180" s="183">
        <v>44893</v>
      </c>
      <c r="N180" s="15">
        <f>+O180</f>
        <v>44896</v>
      </c>
      <c r="O180" s="183">
        <v>44896</v>
      </c>
      <c r="P180" s="10">
        <f>+L180-N180</f>
        <v>-3</v>
      </c>
      <c r="Q180" s="10">
        <f>+N180-O180</f>
        <v>0</v>
      </c>
      <c r="R180" s="10">
        <f>+L180-O180</f>
        <v>-3</v>
      </c>
      <c r="S180" s="10">
        <f>+R180-30</f>
        <v>-33</v>
      </c>
      <c r="T180" s="8">
        <f>+Q180*D180</f>
        <v>0</v>
      </c>
      <c r="U180" s="8">
        <f>+S180*D180</f>
        <v>-827.64</v>
      </c>
      <c r="V180" s="118">
        <f>IF(Q180&gt;30,200+E180,100+E180)</f>
        <v>129</v>
      </c>
    </row>
    <row r="181" spans="1:22" ht="15" x14ac:dyDescent="0.25">
      <c r="A181" s="182" t="s">
        <v>444</v>
      </c>
      <c r="B181" s="183">
        <v>44889</v>
      </c>
      <c r="C181" s="182" t="s">
        <v>445</v>
      </c>
      <c r="D181" s="184">
        <v>1028.5</v>
      </c>
      <c r="E181" s="182" t="s">
        <v>299</v>
      </c>
      <c r="K181" s="2"/>
      <c r="L181" s="183">
        <v>44889</v>
      </c>
      <c r="N181" s="15">
        <f>+O181</f>
        <v>44909</v>
      </c>
      <c r="O181" s="183">
        <v>44909</v>
      </c>
      <c r="P181" s="10">
        <f>+L181-N181</f>
        <v>-20</v>
      </c>
      <c r="Q181" s="10">
        <f>+N181-O181</f>
        <v>0</v>
      </c>
      <c r="R181" s="10">
        <f>+L181-O181</f>
        <v>-20</v>
      </c>
      <c r="S181" s="10">
        <f>+R181-30</f>
        <v>-50</v>
      </c>
      <c r="T181" s="8">
        <f>+Q181*D181</f>
        <v>0</v>
      </c>
      <c r="U181" s="8">
        <f>+S181*D181</f>
        <v>-51425</v>
      </c>
      <c r="V181" s="118">
        <f>IF(Q181&gt;30,200+E181,100+E181)</f>
        <v>129</v>
      </c>
    </row>
    <row r="182" spans="1:22" ht="15" x14ac:dyDescent="0.25">
      <c r="A182" s="182" t="s">
        <v>446</v>
      </c>
      <c r="B182" s="183">
        <v>44890</v>
      </c>
      <c r="C182" s="182" t="s">
        <v>447</v>
      </c>
      <c r="D182" s="184">
        <v>62</v>
      </c>
      <c r="E182" s="182" t="s">
        <v>299</v>
      </c>
      <c r="K182" s="2"/>
      <c r="L182" s="183">
        <v>44890</v>
      </c>
      <c r="N182" s="15">
        <f>+O182</f>
        <v>44894</v>
      </c>
      <c r="O182" s="183">
        <v>44894</v>
      </c>
      <c r="P182" s="10">
        <f>+L182-N182</f>
        <v>-4</v>
      </c>
      <c r="Q182" s="10">
        <f>+N182-O182</f>
        <v>0</v>
      </c>
      <c r="R182" s="10">
        <f>+L182-O182</f>
        <v>-4</v>
      </c>
      <c r="S182" s="10">
        <f>+R182-30</f>
        <v>-34</v>
      </c>
      <c r="T182" s="8">
        <f>+Q182*D182</f>
        <v>0</v>
      </c>
      <c r="U182" s="8">
        <f>+S182*D182</f>
        <v>-2108</v>
      </c>
      <c r="V182" s="118">
        <f>IF(Q182&gt;30,200+E182,100+E182)</f>
        <v>129</v>
      </c>
    </row>
    <row r="183" spans="1:22" ht="15" x14ac:dyDescent="0.25">
      <c r="A183" s="182" t="s">
        <v>448</v>
      </c>
      <c r="B183" s="183">
        <v>44890</v>
      </c>
      <c r="C183" s="182" t="s">
        <v>449</v>
      </c>
      <c r="D183" s="184">
        <v>18.059999999999999</v>
      </c>
      <c r="E183" s="182" t="s">
        <v>299</v>
      </c>
      <c r="K183" s="2"/>
      <c r="L183" s="183">
        <v>44890</v>
      </c>
      <c r="N183" s="15">
        <f>+O183</f>
        <v>44895</v>
      </c>
      <c r="O183" s="183">
        <v>44895</v>
      </c>
      <c r="P183" s="10">
        <f>+L183-N183</f>
        <v>-5</v>
      </c>
      <c r="Q183" s="10">
        <f>+N183-O183</f>
        <v>0</v>
      </c>
      <c r="R183" s="10">
        <f>+L183-O183</f>
        <v>-5</v>
      </c>
      <c r="S183" s="10">
        <f>+R183-30</f>
        <v>-35</v>
      </c>
      <c r="T183" s="8">
        <f>+Q183*D183</f>
        <v>0</v>
      </c>
      <c r="U183" s="8">
        <f>+S183*D183</f>
        <v>-632.09999999999991</v>
      </c>
      <c r="V183" s="118">
        <f>IF(Q183&gt;30,200+E183,100+E183)</f>
        <v>129</v>
      </c>
    </row>
    <row r="184" spans="1:22" ht="15" x14ac:dyDescent="0.25">
      <c r="A184" s="182" t="s">
        <v>450</v>
      </c>
      <c r="B184" s="183">
        <v>44886</v>
      </c>
      <c r="C184" s="182" t="s">
        <v>451</v>
      </c>
      <c r="D184" s="184">
        <v>16.96</v>
      </c>
      <c r="E184" s="182" t="s">
        <v>299</v>
      </c>
      <c r="K184" s="2"/>
      <c r="L184" s="183">
        <v>44886</v>
      </c>
      <c r="N184" s="15">
        <f>+O184</f>
        <v>44894</v>
      </c>
      <c r="O184" s="183">
        <v>44894</v>
      </c>
      <c r="P184" s="10">
        <f>+L184-N184</f>
        <v>-8</v>
      </c>
      <c r="Q184" s="10">
        <f>+N184-O184</f>
        <v>0</v>
      </c>
      <c r="R184" s="10">
        <f>+L184-O184</f>
        <v>-8</v>
      </c>
      <c r="S184" s="10">
        <f>+R184-30</f>
        <v>-38</v>
      </c>
      <c r="T184" s="8">
        <f>+Q184*D184</f>
        <v>0</v>
      </c>
      <c r="U184" s="8">
        <f>+S184*D184</f>
        <v>-644.48</v>
      </c>
      <c r="V184" s="118">
        <f>IF(Q184&gt;30,200+E184,100+E184)</f>
        <v>129</v>
      </c>
    </row>
    <row r="185" spans="1:22" ht="15" x14ac:dyDescent="0.25">
      <c r="A185" s="182" t="s">
        <v>452</v>
      </c>
      <c r="B185" s="183">
        <v>44895</v>
      </c>
      <c r="C185" s="182" t="s">
        <v>453</v>
      </c>
      <c r="D185" s="184">
        <v>1108.17</v>
      </c>
      <c r="E185" s="182" t="s">
        <v>299</v>
      </c>
      <c r="K185" s="2"/>
      <c r="L185" s="183">
        <v>44895</v>
      </c>
      <c r="N185" s="15">
        <f>+O185</f>
        <v>44895</v>
      </c>
      <c r="O185" s="183">
        <v>44895</v>
      </c>
      <c r="P185" s="10">
        <f>+L185-N185</f>
        <v>0</v>
      </c>
      <c r="Q185" s="10">
        <f>+N185-O185</f>
        <v>0</v>
      </c>
      <c r="R185" s="10">
        <f>+L185-O185</f>
        <v>0</v>
      </c>
      <c r="S185" s="10">
        <f>+R185-30</f>
        <v>-30</v>
      </c>
      <c r="T185" s="8">
        <f>+Q185*D185</f>
        <v>0</v>
      </c>
      <c r="U185" s="8">
        <f>+S185*D185</f>
        <v>-33245.100000000006</v>
      </c>
      <c r="V185" s="118">
        <f>IF(Q185&gt;30,200+E185,100+E185)</f>
        <v>129</v>
      </c>
    </row>
    <row r="186" spans="1:22" ht="15" x14ac:dyDescent="0.25">
      <c r="A186" s="182" t="s">
        <v>454</v>
      </c>
      <c r="B186" s="183">
        <v>44895</v>
      </c>
      <c r="C186" s="182" t="s">
        <v>455</v>
      </c>
      <c r="D186" s="184">
        <v>1464.06</v>
      </c>
      <c r="E186" s="182" t="s">
        <v>299</v>
      </c>
      <c r="K186" s="2"/>
      <c r="L186" s="183">
        <v>44895</v>
      </c>
      <c r="N186" s="15">
        <f>+O186</f>
        <v>44895</v>
      </c>
      <c r="O186" s="183">
        <v>44895</v>
      </c>
      <c r="P186" s="10">
        <f>+L186-N186</f>
        <v>0</v>
      </c>
      <c r="Q186" s="10">
        <f>+N186-O186</f>
        <v>0</v>
      </c>
      <c r="R186" s="10">
        <f>+L186-O186</f>
        <v>0</v>
      </c>
      <c r="S186" s="10">
        <f>+R186-30</f>
        <v>-30</v>
      </c>
      <c r="T186" s="8">
        <f>+Q186*D186</f>
        <v>0</v>
      </c>
      <c r="U186" s="8">
        <f>+S186*D186</f>
        <v>-43921.799999999996</v>
      </c>
      <c r="V186" s="118">
        <f>IF(Q186&gt;30,200+E186,100+E186)</f>
        <v>129</v>
      </c>
    </row>
    <row r="187" spans="1:22" ht="15" x14ac:dyDescent="0.25">
      <c r="A187" s="182" t="s">
        <v>456</v>
      </c>
      <c r="B187" s="183">
        <v>44890</v>
      </c>
      <c r="C187" s="182" t="s">
        <v>457</v>
      </c>
      <c r="D187" s="184">
        <v>101.64</v>
      </c>
      <c r="E187" s="182" t="s">
        <v>299</v>
      </c>
      <c r="K187" s="2"/>
      <c r="L187" s="183">
        <v>44890</v>
      </c>
      <c r="N187" s="15">
        <f>+O187</f>
        <v>44894</v>
      </c>
      <c r="O187" s="183">
        <v>44894</v>
      </c>
      <c r="P187" s="10">
        <f>+L187-N187</f>
        <v>-4</v>
      </c>
      <c r="Q187" s="10">
        <f>+N187-O187</f>
        <v>0</v>
      </c>
      <c r="R187" s="10">
        <f>+L187-O187</f>
        <v>-4</v>
      </c>
      <c r="S187" s="10">
        <f>+R187-30</f>
        <v>-34</v>
      </c>
      <c r="T187" s="8">
        <f>+Q187*D187</f>
        <v>0</v>
      </c>
      <c r="U187" s="8">
        <f>+S187*D187</f>
        <v>-3455.76</v>
      </c>
      <c r="V187" s="118">
        <f>IF(Q187&gt;30,200+E187,100+E187)</f>
        <v>129</v>
      </c>
    </row>
    <row r="188" spans="1:22" ht="15" x14ac:dyDescent="0.25">
      <c r="A188" s="182" t="s">
        <v>458</v>
      </c>
      <c r="B188" s="183">
        <v>44888</v>
      </c>
      <c r="C188" s="182" t="s">
        <v>459</v>
      </c>
      <c r="D188" s="184">
        <v>1877.64</v>
      </c>
      <c r="E188" s="182" t="s">
        <v>299</v>
      </c>
      <c r="K188" s="2"/>
      <c r="L188" s="183">
        <v>44888</v>
      </c>
      <c r="N188" s="15">
        <f>+O188</f>
        <v>44895</v>
      </c>
      <c r="O188" s="183">
        <v>44895</v>
      </c>
      <c r="P188" s="10">
        <f>+L188-N188</f>
        <v>-7</v>
      </c>
      <c r="Q188" s="10">
        <f>+N188-O188</f>
        <v>0</v>
      </c>
      <c r="R188" s="10">
        <f>+L188-O188</f>
        <v>-7</v>
      </c>
      <c r="S188" s="10">
        <f>+R188-30</f>
        <v>-37</v>
      </c>
      <c r="T188" s="8">
        <f>+Q188*D188</f>
        <v>0</v>
      </c>
      <c r="U188" s="8">
        <f>+S188*D188</f>
        <v>-69472.680000000008</v>
      </c>
      <c r="V188" s="118">
        <f>IF(Q188&gt;30,200+E188,100+E188)</f>
        <v>129</v>
      </c>
    </row>
    <row r="189" spans="1:22" ht="15" x14ac:dyDescent="0.25">
      <c r="A189" s="182" t="s">
        <v>460</v>
      </c>
      <c r="B189" s="183">
        <v>44895</v>
      </c>
      <c r="C189" s="182" t="s">
        <v>461</v>
      </c>
      <c r="D189" s="184">
        <v>132.6</v>
      </c>
      <c r="E189" s="182" t="s">
        <v>299</v>
      </c>
      <c r="K189" s="2"/>
      <c r="L189" s="183">
        <v>44895</v>
      </c>
      <c r="N189" s="15">
        <f>+O189</f>
        <v>44901</v>
      </c>
      <c r="O189" s="183">
        <v>44901</v>
      </c>
      <c r="P189" s="10">
        <f>+L189-N189</f>
        <v>-6</v>
      </c>
      <c r="Q189" s="10">
        <f>+N189-O189</f>
        <v>0</v>
      </c>
      <c r="R189" s="10">
        <f>+L189-O189</f>
        <v>-6</v>
      </c>
      <c r="S189" s="10">
        <f>+R189-30</f>
        <v>-36</v>
      </c>
      <c r="T189" s="8">
        <f>+Q189*D189</f>
        <v>0</v>
      </c>
      <c r="U189" s="8">
        <f>+S189*D189</f>
        <v>-4773.5999999999995</v>
      </c>
      <c r="V189" s="118">
        <f>IF(Q189&gt;30,200+E189,100+E189)</f>
        <v>129</v>
      </c>
    </row>
    <row r="190" spans="1:22" ht="15" x14ac:dyDescent="0.25">
      <c r="A190" s="182" t="s">
        <v>462</v>
      </c>
      <c r="B190" s="183">
        <v>44895</v>
      </c>
      <c r="C190" s="182" t="s">
        <v>463</v>
      </c>
      <c r="D190" s="184">
        <v>421.86</v>
      </c>
      <c r="E190" s="182" t="s">
        <v>299</v>
      </c>
      <c r="K190" s="2"/>
      <c r="L190" s="183">
        <v>44895</v>
      </c>
      <c r="N190" s="15">
        <f>+O190</f>
        <v>44902</v>
      </c>
      <c r="O190" s="183">
        <v>44902</v>
      </c>
      <c r="P190" s="10">
        <f>+L190-N190</f>
        <v>-7</v>
      </c>
      <c r="Q190" s="10">
        <f>+N190-O190</f>
        <v>0</v>
      </c>
      <c r="R190" s="10">
        <f>+L190-O190</f>
        <v>-7</v>
      </c>
      <c r="S190" s="10">
        <f>+R190-30</f>
        <v>-37</v>
      </c>
      <c r="T190" s="8">
        <f>+Q190*D190</f>
        <v>0</v>
      </c>
      <c r="U190" s="8">
        <f>+S190*D190</f>
        <v>-15608.82</v>
      </c>
      <c r="V190" s="118">
        <f>IF(Q190&gt;30,200+E190,100+E190)</f>
        <v>129</v>
      </c>
    </row>
    <row r="191" spans="1:22" ht="15" x14ac:dyDescent="0.25">
      <c r="A191" s="182" t="s">
        <v>464</v>
      </c>
      <c r="B191" s="183">
        <v>44896</v>
      </c>
      <c r="C191" s="182" t="s">
        <v>465</v>
      </c>
      <c r="D191" s="184">
        <v>20.51</v>
      </c>
      <c r="E191" s="182" t="s">
        <v>299</v>
      </c>
      <c r="K191" s="2"/>
      <c r="L191" s="183">
        <v>44896</v>
      </c>
      <c r="N191" s="15">
        <f>+O191</f>
        <v>44909</v>
      </c>
      <c r="O191" s="183">
        <v>44909</v>
      </c>
      <c r="P191" s="10">
        <f>+L191-N191</f>
        <v>-13</v>
      </c>
      <c r="Q191" s="10">
        <f>+N191-O191</f>
        <v>0</v>
      </c>
      <c r="R191" s="10">
        <f>+L191-O191</f>
        <v>-13</v>
      </c>
      <c r="S191" s="10">
        <f>+R191-30</f>
        <v>-43</v>
      </c>
      <c r="T191" s="8">
        <f>+Q191*D191</f>
        <v>0</v>
      </c>
      <c r="U191" s="8">
        <f>+S191*D191</f>
        <v>-881.93000000000006</v>
      </c>
      <c r="V191" s="118">
        <f>IF(Q191&gt;30,200+E191,100+E191)</f>
        <v>129</v>
      </c>
    </row>
    <row r="192" spans="1:22" ht="15" x14ac:dyDescent="0.25">
      <c r="A192" s="182" t="s">
        <v>466</v>
      </c>
      <c r="B192" s="183">
        <v>44896</v>
      </c>
      <c r="C192" s="182" t="s">
        <v>467</v>
      </c>
      <c r="D192" s="184">
        <v>156</v>
      </c>
      <c r="E192" s="182" t="s">
        <v>299</v>
      </c>
      <c r="K192" s="2"/>
      <c r="L192" s="183">
        <v>44896</v>
      </c>
      <c r="N192" s="15">
        <f>+O192</f>
        <v>44904</v>
      </c>
      <c r="O192" s="183">
        <v>44904</v>
      </c>
      <c r="P192" s="10">
        <f>+L192-N192</f>
        <v>-8</v>
      </c>
      <c r="Q192" s="10">
        <f>+N192-O192</f>
        <v>0</v>
      </c>
      <c r="R192" s="10">
        <f>+L192-O192</f>
        <v>-8</v>
      </c>
      <c r="S192" s="10">
        <f>+R192-30</f>
        <v>-38</v>
      </c>
      <c r="T192" s="8">
        <f>+Q192*D192</f>
        <v>0</v>
      </c>
      <c r="U192" s="8">
        <f>+S192*D192</f>
        <v>-5928</v>
      </c>
      <c r="V192" s="118">
        <f>IF(Q192&gt;30,200+E192,100+E192)</f>
        <v>129</v>
      </c>
    </row>
    <row r="193" spans="1:22" ht="15" x14ac:dyDescent="0.25">
      <c r="A193" s="182" t="s">
        <v>468</v>
      </c>
      <c r="B193" s="183">
        <v>44895</v>
      </c>
      <c r="C193" s="182" t="s">
        <v>469</v>
      </c>
      <c r="D193" s="184">
        <v>107.45</v>
      </c>
      <c r="E193" s="182" t="s">
        <v>299</v>
      </c>
      <c r="K193" s="2"/>
      <c r="L193" s="183">
        <v>44895</v>
      </c>
      <c r="N193" s="15">
        <f>+O193</f>
        <v>44909</v>
      </c>
      <c r="O193" s="183">
        <v>44909</v>
      </c>
      <c r="P193" s="10">
        <f>+L193-N193</f>
        <v>-14</v>
      </c>
      <c r="Q193" s="10">
        <f>+N193-O193</f>
        <v>0</v>
      </c>
      <c r="R193" s="10">
        <f>+L193-O193</f>
        <v>-14</v>
      </c>
      <c r="S193" s="10">
        <f>+R193-30</f>
        <v>-44</v>
      </c>
      <c r="T193" s="8">
        <f>+Q193*D193</f>
        <v>0</v>
      </c>
      <c r="U193" s="8">
        <f>+S193*D193</f>
        <v>-4727.8</v>
      </c>
      <c r="V193" s="118">
        <f>IF(Q193&gt;30,200+E193,100+E193)</f>
        <v>129</v>
      </c>
    </row>
    <row r="194" spans="1:22" ht="15" x14ac:dyDescent="0.25">
      <c r="A194" s="182" t="s">
        <v>470</v>
      </c>
      <c r="B194" s="183">
        <v>44900</v>
      </c>
      <c r="C194" s="182" t="s">
        <v>471</v>
      </c>
      <c r="D194" s="184">
        <v>163.35</v>
      </c>
      <c r="E194" s="182" t="s">
        <v>299</v>
      </c>
      <c r="K194" s="2"/>
      <c r="L194" s="183">
        <v>44900</v>
      </c>
      <c r="N194" s="15">
        <f>+O194</f>
        <v>44909</v>
      </c>
      <c r="O194" s="183">
        <v>44909</v>
      </c>
      <c r="P194" s="10">
        <f>+L194-N194</f>
        <v>-9</v>
      </c>
      <c r="Q194" s="10">
        <f>+N194-O194</f>
        <v>0</v>
      </c>
      <c r="R194" s="10">
        <f>+L194-O194</f>
        <v>-9</v>
      </c>
      <c r="S194" s="10">
        <f>+R194-30</f>
        <v>-39</v>
      </c>
      <c r="T194" s="8">
        <f>+Q194*D194</f>
        <v>0</v>
      </c>
      <c r="U194" s="8">
        <f>+S194*D194</f>
        <v>-6370.65</v>
      </c>
      <c r="V194" s="118">
        <f>IF(Q194&gt;30,200+E194,100+E194)</f>
        <v>129</v>
      </c>
    </row>
    <row r="195" spans="1:22" ht="15" x14ac:dyDescent="0.25">
      <c r="A195" s="182" t="s">
        <v>472</v>
      </c>
      <c r="B195" s="183">
        <v>44895</v>
      </c>
      <c r="C195" s="182" t="s">
        <v>473</v>
      </c>
      <c r="D195" s="184">
        <v>137.65</v>
      </c>
      <c r="E195" s="182" t="s">
        <v>299</v>
      </c>
      <c r="K195" s="2"/>
      <c r="L195" s="183">
        <v>44895</v>
      </c>
      <c r="N195" s="15">
        <f>+O195</f>
        <v>44909</v>
      </c>
      <c r="O195" s="183">
        <v>44909</v>
      </c>
      <c r="P195" s="10">
        <f>+L195-N195</f>
        <v>-14</v>
      </c>
      <c r="Q195" s="10">
        <f>+N195-O195</f>
        <v>0</v>
      </c>
      <c r="R195" s="10">
        <f>+L195-O195</f>
        <v>-14</v>
      </c>
      <c r="S195" s="10">
        <f>+R195-30</f>
        <v>-44</v>
      </c>
      <c r="T195" s="8">
        <f>+Q195*D195</f>
        <v>0</v>
      </c>
      <c r="U195" s="8">
        <f>+S195*D195</f>
        <v>-6056.6</v>
      </c>
      <c r="V195" s="118">
        <f>IF(Q195&gt;30,200+E195,100+E195)</f>
        <v>129</v>
      </c>
    </row>
    <row r="196" spans="1:22" ht="15" x14ac:dyDescent="0.25">
      <c r="A196" s="182" t="s">
        <v>474</v>
      </c>
      <c r="B196" s="183">
        <v>44907</v>
      </c>
      <c r="C196" s="182" t="s">
        <v>475</v>
      </c>
      <c r="D196" s="184">
        <v>726</v>
      </c>
      <c r="E196" s="182" t="s">
        <v>299</v>
      </c>
      <c r="K196" s="2"/>
      <c r="L196" s="183">
        <v>44907</v>
      </c>
      <c r="N196" s="15">
        <f>+O196</f>
        <v>44909</v>
      </c>
      <c r="O196" s="183">
        <v>44909</v>
      </c>
      <c r="P196" s="10">
        <f>+L196-N196</f>
        <v>-2</v>
      </c>
      <c r="Q196" s="10">
        <f>+N196-O196</f>
        <v>0</v>
      </c>
      <c r="R196" s="10">
        <f>+L196-O196</f>
        <v>-2</v>
      </c>
      <c r="S196" s="10">
        <f>+R196-30</f>
        <v>-32</v>
      </c>
      <c r="T196" s="8">
        <f>+Q196*D196</f>
        <v>0</v>
      </c>
      <c r="U196" s="8">
        <f>+S196*D196</f>
        <v>-23232</v>
      </c>
      <c r="V196" s="118">
        <f>IF(Q196&gt;30,200+E196,100+E196)</f>
        <v>129</v>
      </c>
    </row>
    <row r="197" spans="1:22" ht="15" x14ac:dyDescent="0.25">
      <c r="A197" s="182" t="s">
        <v>476</v>
      </c>
      <c r="B197" s="183">
        <v>44894</v>
      </c>
      <c r="C197" s="182" t="s">
        <v>477</v>
      </c>
      <c r="D197" s="184">
        <v>5151</v>
      </c>
      <c r="E197" s="182" t="s">
        <v>299</v>
      </c>
      <c r="K197" s="2"/>
      <c r="L197" s="183">
        <v>44894</v>
      </c>
      <c r="N197" s="15">
        <f>+O197</f>
        <v>44927</v>
      </c>
      <c r="O197" s="183">
        <v>44927</v>
      </c>
      <c r="P197" s="10">
        <f>+L197-N197</f>
        <v>-33</v>
      </c>
      <c r="Q197" s="10">
        <f>+N197-O197</f>
        <v>0</v>
      </c>
      <c r="R197" s="10">
        <f>+L197-O197</f>
        <v>-33</v>
      </c>
      <c r="S197" s="10">
        <f>+R197-30</f>
        <v>-63</v>
      </c>
      <c r="T197" s="8">
        <f>+Q197*D197</f>
        <v>0</v>
      </c>
      <c r="U197" s="8">
        <f>+S197*D197</f>
        <v>-324513</v>
      </c>
      <c r="V197" s="118">
        <f>IF(Q197&gt;30,200+E197,100+E197)</f>
        <v>129</v>
      </c>
    </row>
    <row r="198" spans="1:22" ht="15" x14ac:dyDescent="0.25">
      <c r="A198" s="182" t="s">
        <v>478</v>
      </c>
      <c r="B198" s="183">
        <v>44895</v>
      </c>
      <c r="C198" s="182" t="s">
        <v>479</v>
      </c>
      <c r="D198" s="184">
        <v>399.3</v>
      </c>
      <c r="E198" s="182" t="s">
        <v>299</v>
      </c>
      <c r="K198" s="2"/>
      <c r="L198" s="183">
        <v>44895</v>
      </c>
      <c r="N198" s="15">
        <f>+O198</f>
        <v>44909</v>
      </c>
      <c r="O198" s="183">
        <v>44909</v>
      </c>
      <c r="P198" s="10">
        <f>+L198-N198</f>
        <v>-14</v>
      </c>
      <c r="Q198" s="10">
        <f>+N198-O198</f>
        <v>0</v>
      </c>
      <c r="R198" s="10">
        <f>+L198-O198</f>
        <v>-14</v>
      </c>
      <c r="S198" s="10">
        <f>+R198-30</f>
        <v>-44</v>
      </c>
      <c r="T198" s="8">
        <f>+Q198*D198</f>
        <v>0</v>
      </c>
      <c r="U198" s="8">
        <f>+S198*D198</f>
        <v>-17569.2</v>
      </c>
      <c r="V198" s="118">
        <f>IF(Q198&gt;30,200+E198,100+E198)</f>
        <v>129</v>
      </c>
    </row>
    <row r="199" spans="1:22" ht="15" x14ac:dyDescent="0.25">
      <c r="A199" s="182" t="s">
        <v>480</v>
      </c>
      <c r="B199" s="183">
        <v>44895</v>
      </c>
      <c r="C199" s="182" t="s">
        <v>481</v>
      </c>
      <c r="D199" s="184">
        <v>1306.8</v>
      </c>
      <c r="E199" s="182" t="s">
        <v>299</v>
      </c>
      <c r="K199" s="2"/>
      <c r="L199" s="183">
        <v>44895</v>
      </c>
      <c r="N199" s="15">
        <f>+O199</f>
        <v>44909</v>
      </c>
      <c r="O199" s="183">
        <v>44909</v>
      </c>
      <c r="P199" s="10">
        <f>+L199-N199</f>
        <v>-14</v>
      </c>
      <c r="Q199" s="10">
        <f>+N199-O199</f>
        <v>0</v>
      </c>
      <c r="R199" s="10">
        <f>+L199-O199</f>
        <v>-14</v>
      </c>
      <c r="S199" s="10">
        <f>+R199-30</f>
        <v>-44</v>
      </c>
      <c r="T199" s="8">
        <f>+Q199*D199</f>
        <v>0</v>
      </c>
      <c r="U199" s="8">
        <f>+S199*D199</f>
        <v>-57499.199999999997</v>
      </c>
      <c r="V199" s="118">
        <f>IF(Q199&gt;30,200+E199,100+E199)</f>
        <v>129</v>
      </c>
    </row>
    <row r="200" spans="1:22" ht="15" x14ac:dyDescent="0.25">
      <c r="A200" s="182" t="s">
        <v>482</v>
      </c>
      <c r="B200" s="183">
        <v>44889</v>
      </c>
      <c r="C200" s="182" t="s">
        <v>483</v>
      </c>
      <c r="D200" s="184">
        <v>853</v>
      </c>
      <c r="E200" s="182" t="s">
        <v>299</v>
      </c>
      <c r="K200" s="2"/>
      <c r="L200" s="183">
        <v>44889</v>
      </c>
      <c r="N200" s="15">
        <f>+O200</f>
        <v>44909</v>
      </c>
      <c r="O200" s="183">
        <v>44909</v>
      </c>
      <c r="P200" s="10">
        <f>+L200-N200</f>
        <v>-20</v>
      </c>
      <c r="Q200" s="10">
        <f>+N200-O200</f>
        <v>0</v>
      </c>
      <c r="R200" s="10">
        <f>+L200-O200</f>
        <v>-20</v>
      </c>
      <c r="S200" s="10">
        <f>+R200-30</f>
        <v>-50</v>
      </c>
      <c r="T200" s="8">
        <f>+Q200*D200</f>
        <v>0</v>
      </c>
      <c r="U200" s="8">
        <f>+S200*D200</f>
        <v>-42650</v>
      </c>
      <c r="V200" s="118">
        <f>IF(Q200&gt;30,200+E200,100+E200)</f>
        <v>129</v>
      </c>
    </row>
    <row r="201" spans="1:22" ht="15" x14ac:dyDescent="0.25">
      <c r="A201" s="182" t="s">
        <v>484</v>
      </c>
      <c r="B201" s="183">
        <v>44897</v>
      </c>
      <c r="C201" s="182" t="s">
        <v>485</v>
      </c>
      <c r="D201" s="184">
        <v>1315.05</v>
      </c>
      <c r="E201" s="182" t="s">
        <v>299</v>
      </c>
      <c r="K201" s="2"/>
      <c r="L201" s="183">
        <v>44897</v>
      </c>
      <c r="N201" s="15">
        <f>+O201</f>
        <v>44909</v>
      </c>
      <c r="O201" s="183">
        <v>44909</v>
      </c>
      <c r="P201" s="10">
        <f>+L201-N201</f>
        <v>-12</v>
      </c>
      <c r="Q201" s="10">
        <f>+N201-O201</f>
        <v>0</v>
      </c>
      <c r="R201" s="10">
        <f>+L201-O201</f>
        <v>-12</v>
      </c>
      <c r="S201" s="10">
        <f>+R201-30</f>
        <v>-42</v>
      </c>
      <c r="T201" s="8">
        <f>+Q201*D201</f>
        <v>0</v>
      </c>
      <c r="U201" s="8">
        <f>+S201*D201</f>
        <v>-55232.1</v>
      </c>
      <c r="V201" s="118">
        <f>IF(Q201&gt;30,200+E201,100+E201)</f>
        <v>129</v>
      </c>
    </row>
    <row r="202" spans="1:22" ht="15" x14ac:dyDescent="0.25">
      <c r="A202" s="182" t="s">
        <v>486</v>
      </c>
      <c r="B202" s="183">
        <v>44899</v>
      </c>
      <c r="C202" s="182" t="s">
        <v>487</v>
      </c>
      <c r="D202" s="184">
        <v>23.88</v>
      </c>
      <c r="E202" s="182" t="s">
        <v>299</v>
      </c>
      <c r="K202" s="2"/>
      <c r="L202" s="183">
        <v>44899</v>
      </c>
      <c r="N202" s="15">
        <f>+O202</f>
        <v>44902</v>
      </c>
      <c r="O202" s="183">
        <v>44902</v>
      </c>
      <c r="P202" s="10">
        <f>+L202-N202</f>
        <v>-3</v>
      </c>
      <c r="Q202" s="10">
        <f>+N202-O202</f>
        <v>0</v>
      </c>
      <c r="R202" s="10">
        <f>+L202-O202</f>
        <v>-3</v>
      </c>
      <c r="S202" s="10">
        <f>+R202-30</f>
        <v>-33</v>
      </c>
      <c r="T202" s="8">
        <f>+Q202*D202</f>
        <v>0</v>
      </c>
      <c r="U202" s="8">
        <f>+S202*D202</f>
        <v>-788.04</v>
      </c>
      <c r="V202" s="118">
        <f>IF(Q202&gt;30,200+E202,100+E202)</f>
        <v>129</v>
      </c>
    </row>
    <row r="203" spans="1:22" ht="15" x14ac:dyDescent="0.25">
      <c r="A203" s="182" t="s">
        <v>488</v>
      </c>
      <c r="B203" s="183">
        <v>44883</v>
      </c>
      <c r="C203" s="182" t="s">
        <v>489</v>
      </c>
      <c r="D203" s="184">
        <v>228.8</v>
      </c>
      <c r="E203" s="182" t="s">
        <v>299</v>
      </c>
      <c r="K203" s="2"/>
      <c r="L203" s="183">
        <v>44883</v>
      </c>
      <c r="N203" s="15">
        <f>+O203</f>
        <v>44923</v>
      </c>
      <c r="O203" s="183">
        <v>44923</v>
      </c>
      <c r="P203" s="10">
        <f>+L203-N203</f>
        <v>-40</v>
      </c>
      <c r="Q203" s="10">
        <f>+N203-O203</f>
        <v>0</v>
      </c>
      <c r="R203" s="10">
        <f>+L203-O203</f>
        <v>-40</v>
      </c>
      <c r="S203" s="10">
        <f>+R203-30</f>
        <v>-70</v>
      </c>
      <c r="T203" s="8">
        <f>+Q203*D203</f>
        <v>0</v>
      </c>
      <c r="U203" s="8">
        <f>+S203*D203</f>
        <v>-16016</v>
      </c>
      <c r="V203" s="118">
        <f>IF(Q203&gt;30,200+E203,100+E203)</f>
        <v>129</v>
      </c>
    </row>
    <row r="204" spans="1:22" ht="15" x14ac:dyDescent="0.25">
      <c r="A204" s="182" t="s">
        <v>490</v>
      </c>
      <c r="B204" s="183">
        <v>44883</v>
      </c>
      <c r="C204" s="182" t="s">
        <v>491</v>
      </c>
      <c r="D204" s="184">
        <v>84.85</v>
      </c>
      <c r="E204" s="182" t="s">
        <v>299</v>
      </c>
      <c r="K204" s="2"/>
      <c r="L204" s="183">
        <v>44883</v>
      </c>
      <c r="N204" s="15">
        <f>+O204</f>
        <v>44923</v>
      </c>
      <c r="O204" s="183">
        <v>44923</v>
      </c>
      <c r="P204" s="10">
        <f>+L204-N204</f>
        <v>-40</v>
      </c>
      <c r="Q204" s="10">
        <f>+N204-O204</f>
        <v>0</v>
      </c>
      <c r="R204" s="10">
        <f>+L204-O204</f>
        <v>-40</v>
      </c>
      <c r="S204" s="10">
        <f>+R204-30</f>
        <v>-70</v>
      </c>
      <c r="T204" s="8">
        <f>+Q204*D204</f>
        <v>0</v>
      </c>
      <c r="U204" s="8">
        <f>+S204*D204</f>
        <v>-5939.5</v>
      </c>
      <c r="V204" s="118">
        <f>IF(Q204&gt;30,200+E204,100+E204)</f>
        <v>129</v>
      </c>
    </row>
    <row r="205" spans="1:22" ht="15" x14ac:dyDescent="0.25">
      <c r="A205" s="182" t="s">
        <v>492</v>
      </c>
      <c r="B205" s="183">
        <v>44906</v>
      </c>
      <c r="C205" s="182" t="s">
        <v>493</v>
      </c>
      <c r="D205" s="184">
        <v>23.85</v>
      </c>
      <c r="E205" s="182" t="s">
        <v>299</v>
      </c>
      <c r="K205" s="2"/>
      <c r="L205" s="183">
        <v>44906</v>
      </c>
      <c r="N205" s="15">
        <f>+O205</f>
        <v>44910</v>
      </c>
      <c r="O205" s="183">
        <v>44910</v>
      </c>
      <c r="P205" s="10">
        <f>+L205-N205</f>
        <v>-4</v>
      </c>
      <c r="Q205" s="10">
        <f>+N205-O205</f>
        <v>0</v>
      </c>
      <c r="R205" s="10">
        <f>+L205-O205</f>
        <v>-4</v>
      </c>
      <c r="S205" s="10">
        <f>+R205-30</f>
        <v>-34</v>
      </c>
      <c r="T205" s="8">
        <f>+Q205*D205</f>
        <v>0</v>
      </c>
      <c r="U205" s="8">
        <f>+S205*D205</f>
        <v>-810.90000000000009</v>
      </c>
      <c r="V205" s="118">
        <f>IF(Q205&gt;30,200+E205,100+E205)</f>
        <v>129</v>
      </c>
    </row>
    <row r="206" spans="1:22" ht="15" x14ac:dyDescent="0.25">
      <c r="A206" s="182" t="s">
        <v>494</v>
      </c>
      <c r="B206" s="183">
        <v>44895</v>
      </c>
      <c r="C206" s="182" t="s">
        <v>495</v>
      </c>
      <c r="D206" s="184">
        <v>192</v>
      </c>
      <c r="E206" s="182" t="s">
        <v>299</v>
      </c>
      <c r="K206" s="2"/>
      <c r="L206" s="183">
        <v>44895</v>
      </c>
      <c r="N206" s="15">
        <f>+O206</f>
        <v>44909</v>
      </c>
      <c r="O206" s="183">
        <v>44909</v>
      </c>
      <c r="P206" s="10">
        <f>+L206-N206</f>
        <v>-14</v>
      </c>
      <c r="Q206" s="10">
        <f>+N206-O206</f>
        <v>0</v>
      </c>
      <c r="R206" s="10">
        <f>+L206-O206</f>
        <v>-14</v>
      </c>
      <c r="S206" s="10">
        <f>+R206-30</f>
        <v>-44</v>
      </c>
      <c r="T206" s="8">
        <f>+Q206*D206</f>
        <v>0</v>
      </c>
      <c r="U206" s="8">
        <f>+S206*D206</f>
        <v>-8448</v>
      </c>
      <c r="V206" s="118">
        <f>IF(Q206&gt;30,200+E206,100+E206)</f>
        <v>129</v>
      </c>
    </row>
    <row r="207" spans="1:22" ht="15" x14ac:dyDescent="0.25">
      <c r="A207" s="182" t="s">
        <v>496</v>
      </c>
      <c r="B207" s="183">
        <v>44900</v>
      </c>
      <c r="C207" s="182" t="s">
        <v>497</v>
      </c>
      <c r="D207" s="184">
        <v>417.44</v>
      </c>
      <c r="E207" s="182" t="s">
        <v>299</v>
      </c>
      <c r="K207" s="2"/>
      <c r="L207" s="183">
        <v>44900</v>
      </c>
      <c r="N207" s="15">
        <f>+O207</f>
        <v>44909</v>
      </c>
      <c r="O207" s="183">
        <v>44909</v>
      </c>
      <c r="P207" s="10">
        <f>+L207-N207</f>
        <v>-9</v>
      </c>
      <c r="Q207" s="10">
        <f>+N207-O207</f>
        <v>0</v>
      </c>
      <c r="R207" s="10">
        <f>+L207-O207</f>
        <v>-9</v>
      </c>
      <c r="S207" s="10">
        <f>+R207-30</f>
        <v>-39</v>
      </c>
      <c r="T207" s="8">
        <f>+Q207*D207</f>
        <v>0</v>
      </c>
      <c r="U207" s="8">
        <f>+S207*D207</f>
        <v>-16280.16</v>
      </c>
      <c r="V207" s="118">
        <f>IF(Q207&gt;30,200+E207,100+E207)</f>
        <v>129</v>
      </c>
    </row>
    <row r="208" spans="1:22" ht="15" x14ac:dyDescent="0.25">
      <c r="A208" s="182" t="s">
        <v>498</v>
      </c>
      <c r="B208" s="183">
        <v>44895</v>
      </c>
      <c r="C208" s="182" t="s">
        <v>499</v>
      </c>
      <c r="D208" s="184">
        <v>762.3</v>
      </c>
      <c r="E208" s="182" t="s">
        <v>299</v>
      </c>
      <c r="K208" s="2"/>
      <c r="L208" s="183">
        <v>44895</v>
      </c>
      <c r="N208" s="15">
        <f>+O208</f>
        <v>44909</v>
      </c>
      <c r="O208" s="183">
        <v>44909</v>
      </c>
      <c r="P208" s="10">
        <f>+L208-N208</f>
        <v>-14</v>
      </c>
      <c r="Q208" s="10">
        <f>+N208-O208</f>
        <v>0</v>
      </c>
      <c r="R208" s="10">
        <f>+L208-O208</f>
        <v>-14</v>
      </c>
      <c r="S208" s="10">
        <f>+R208-30</f>
        <v>-44</v>
      </c>
      <c r="T208" s="8">
        <f>+Q208*D208</f>
        <v>0</v>
      </c>
      <c r="U208" s="8">
        <f>+S208*D208</f>
        <v>-33541.199999999997</v>
      </c>
      <c r="V208" s="118">
        <f>IF(Q208&gt;30,200+E208,100+E208)</f>
        <v>129</v>
      </c>
    </row>
    <row r="209" spans="1:22" ht="15" x14ac:dyDescent="0.25">
      <c r="A209" s="182" t="s">
        <v>500</v>
      </c>
      <c r="B209" s="183">
        <v>44887</v>
      </c>
      <c r="C209" s="182" t="s">
        <v>501</v>
      </c>
      <c r="D209" s="184">
        <v>450.2</v>
      </c>
      <c r="E209" s="182" t="s">
        <v>299</v>
      </c>
      <c r="K209" s="2"/>
      <c r="L209" s="183">
        <v>44887</v>
      </c>
      <c r="N209" s="15">
        <f>+O209</f>
        <v>44909</v>
      </c>
      <c r="O209" s="183">
        <v>44909</v>
      </c>
      <c r="P209" s="10">
        <f>+L209-N209</f>
        <v>-22</v>
      </c>
      <c r="Q209" s="10">
        <f>+N209-O209</f>
        <v>0</v>
      </c>
      <c r="R209" s="10">
        <f>+L209-O209</f>
        <v>-22</v>
      </c>
      <c r="S209" s="10">
        <f>+R209-30</f>
        <v>-52</v>
      </c>
      <c r="T209" s="8">
        <f>+Q209*D209</f>
        <v>0</v>
      </c>
      <c r="U209" s="8">
        <f>+S209*D209</f>
        <v>-23410.399999999998</v>
      </c>
      <c r="V209" s="118">
        <f>IF(Q209&gt;30,200+E209,100+E209)</f>
        <v>129</v>
      </c>
    </row>
    <row r="210" spans="1:22" ht="15" x14ac:dyDescent="0.25">
      <c r="A210" s="182" t="s">
        <v>502</v>
      </c>
      <c r="B210" s="183">
        <v>44895</v>
      </c>
      <c r="C210" s="182" t="s">
        <v>503</v>
      </c>
      <c r="D210" s="184">
        <v>1343.1</v>
      </c>
      <c r="E210" s="182" t="s">
        <v>299</v>
      </c>
      <c r="K210" s="2"/>
      <c r="L210" s="183">
        <v>44895</v>
      </c>
      <c r="N210" s="15">
        <f>+O210</f>
        <v>44909</v>
      </c>
      <c r="O210" s="183">
        <v>44909</v>
      </c>
      <c r="P210" s="10">
        <f>+L210-N210</f>
        <v>-14</v>
      </c>
      <c r="Q210" s="10">
        <f>+N210-O210</f>
        <v>0</v>
      </c>
      <c r="R210" s="10">
        <f>+L210-O210</f>
        <v>-14</v>
      </c>
      <c r="S210" s="10">
        <f>+R210-30</f>
        <v>-44</v>
      </c>
      <c r="T210" s="8">
        <f>+Q210*D210</f>
        <v>0</v>
      </c>
      <c r="U210" s="8">
        <f>+S210*D210</f>
        <v>-59096.399999999994</v>
      </c>
      <c r="V210" s="118">
        <f>IF(Q210&gt;30,200+E210,100+E210)</f>
        <v>129</v>
      </c>
    </row>
    <row r="211" spans="1:22" ht="15" x14ac:dyDescent="0.25">
      <c r="A211" s="182" t="s">
        <v>504</v>
      </c>
      <c r="B211" s="183">
        <v>44895</v>
      </c>
      <c r="C211" s="182" t="s">
        <v>505</v>
      </c>
      <c r="D211" s="184">
        <v>3037.5</v>
      </c>
      <c r="E211" s="182" t="s">
        <v>299</v>
      </c>
      <c r="K211" s="2"/>
      <c r="L211" s="183">
        <v>44895</v>
      </c>
      <c r="N211" s="15">
        <f>+O211</f>
        <v>44909</v>
      </c>
      <c r="O211" s="183">
        <v>44909</v>
      </c>
      <c r="P211" s="10">
        <f>+L211-N211</f>
        <v>-14</v>
      </c>
      <c r="Q211" s="10">
        <f>+N211-O211</f>
        <v>0</v>
      </c>
      <c r="R211" s="10">
        <f>+L211-O211</f>
        <v>-14</v>
      </c>
      <c r="S211" s="10">
        <f>+R211-30</f>
        <v>-44</v>
      </c>
      <c r="T211" s="8">
        <f>+Q211*D211</f>
        <v>0</v>
      </c>
      <c r="U211" s="8">
        <f>+S211*D211</f>
        <v>-133650</v>
      </c>
      <c r="V211" s="118">
        <f>IF(Q211&gt;30,200+E211,100+E211)</f>
        <v>129</v>
      </c>
    </row>
    <row r="212" spans="1:22" ht="15" x14ac:dyDescent="0.25">
      <c r="A212" s="182" t="s">
        <v>506</v>
      </c>
      <c r="B212" s="183">
        <v>44907</v>
      </c>
      <c r="C212" s="182" t="s">
        <v>507</v>
      </c>
      <c r="D212" s="184">
        <v>900</v>
      </c>
      <c r="E212" s="182" t="s">
        <v>299</v>
      </c>
      <c r="K212" s="2"/>
      <c r="L212" s="183">
        <v>44907</v>
      </c>
      <c r="N212" s="15">
        <f>+O212</f>
        <v>44909</v>
      </c>
      <c r="O212" s="183">
        <v>44909</v>
      </c>
      <c r="P212" s="10">
        <f>+L212-N212</f>
        <v>-2</v>
      </c>
      <c r="Q212" s="10">
        <f>+N212-O212</f>
        <v>0</v>
      </c>
      <c r="R212" s="10">
        <f>+L212-O212</f>
        <v>-2</v>
      </c>
      <c r="S212" s="10">
        <f>+R212-30</f>
        <v>-32</v>
      </c>
      <c r="T212" s="8">
        <f>+Q212*D212</f>
        <v>0</v>
      </c>
      <c r="U212" s="8">
        <f>+S212*D212</f>
        <v>-28800</v>
      </c>
      <c r="V212" s="118">
        <f>IF(Q212&gt;30,200+E212,100+E212)</f>
        <v>129</v>
      </c>
    </row>
    <row r="213" spans="1:22" ht="15" x14ac:dyDescent="0.25">
      <c r="A213" s="182" t="s">
        <v>508</v>
      </c>
      <c r="B213" s="183">
        <v>44900</v>
      </c>
      <c r="C213" s="182" t="s">
        <v>509</v>
      </c>
      <c r="D213" s="184">
        <v>215.57</v>
      </c>
      <c r="E213" s="182" t="s">
        <v>299</v>
      </c>
      <c r="K213" s="2"/>
      <c r="L213" s="183">
        <v>44900</v>
      </c>
      <c r="N213" s="15">
        <f>+O213</f>
        <v>44915</v>
      </c>
      <c r="O213" s="183">
        <v>44915</v>
      </c>
      <c r="P213" s="10">
        <f>+L213-N213</f>
        <v>-15</v>
      </c>
      <c r="Q213" s="10">
        <f>+N213-O213</f>
        <v>0</v>
      </c>
      <c r="R213" s="10">
        <f>+L213-O213</f>
        <v>-15</v>
      </c>
      <c r="S213" s="10">
        <f>+R213-30</f>
        <v>-45</v>
      </c>
      <c r="T213" s="8">
        <f>+Q213*D213</f>
        <v>0</v>
      </c>
      <c r="U213" s="8">
        <f>+S213*D213</f>
        <v>-9700.65</v>
      </c>
      <c r="V213" s="118">
        <f>IF(Q213&gt;30,200+E213,100+E213)</f>
        <v>129</v>
      </c>
    </row>
    <row r="214" spans="1:22" ht="15" x14ac:dyDescent="0.25">
      <c r="A214" s="182" t="s">
        <v>510</v>
      </c>
      <c r="B214" s="183">
        <v>44895</v>
      </c>
      <c r="C214" s="182" t="s">
        <v>511</v>
      </c>
      <c r="D214" s="184">
        <v>916.79</v>
      </c>
      <c r="E214" s="182" t="s">
        <v>299</v>
      </c>
      <c r="K214" s="2"/>
      <c r="L214" s="183">
        <v>44895</v>
      </c>
      <c r="N214" s="15">
        <f>+O214</f>
        <v>44910</v>
      </c>
      <c r="O214" s="183">
        <v>44910</v>
      </c>
      <c r="P214" s="10">
        <f>+L214-N214</f>
        <v>-15</v>
      </c>
      <c r="Q214" s="10">
        <f>+N214-O214</f>
        <v>0</v>
      </c>
      <c r="R214" s="10">
        <f>+L214-O214</f>
        <v>-15</v>
      </c>
      <c r="S214" s="10">
        <f>+R214-30</f>
        <v>-45</v>
      </c>
      <c r="T214" s="8">
        <f>+Q214*D214</f>
        <v>0</v>
      </c>
      <c r="U214" s="8">
        <f>+S214*D214</f>
        <v>-41255.549999999996</v>
      </c>
      <c r="V214" s="118">
        <f>IF(Q214&gt;30,200+E214,100+E214)</f>
        <v>129</v>
      </c>
    </row>
    <row r="215" spans="1:22" ht="15" x14ac:dyDescent="0.25">
      <c r="A215" s="182" t="s">
        <v>512</v>
      </c>
      <c r="B215" s="183">
        <v>44895</v>
      </c>
      <c r="C215" s="182" t="s">
        <v>513</v>
      </c>
      <c r="D215" s="184">
        <v>53.89</v>
      </c>
      <c r="E215" s="182" t="s">
        <v>299</v>
      </c>
      <c r="K215" s="2"/>
      <c r="L215" s="183">
        <v>44895</v>
      </c>
      <c r="N215" s="15">
        <f>+O215</f>
        <v>44925</v>
      </c>
      <c r="O215" s="183">
        <v>44925</v>
      </c>
      <c r="P215" s="10">
        <f>+L215-N215</f>
        <v>-30</v>
      </c>
      <c r="Q215" s="10">
        <f>+N215-O215</f>
        <v>0</v>
      </c>
      <c r="R215" s="10">
        <f>+L215-O215</f>
        <v>-30</v>
      </c>
      <c r="S215" s="10">
        <f>+R215-30</f>
        <v>-60</v>
      </c>
      <c r="T215" s="8">
        <f>+Q215*D215</f>
        <v>0</v>
      </c>
      <c r="U215" s="8">
        <f>+S215*D215</f>
        <v>-3233.4</v>
      </c>
      <c r="V215" s="118">
        <f>IF(Q215&gt;30,200+E215,100+E215)</f>
        <v>129</v>
      </c>
    </row>
    <row r="216" spans="1:22" ht="15" x14ac:dyDescent="0.25">
      <c r="A216" s="182" t="s">
        <v>514</v>
      </c>
      <c r="B216" s="183">
        <v>44907</v>
      </c>
      <c r="C216" s="182" t="s">
        <v>515</v>
      </c>
      <c r="D216" s="184">
        <v>35</v>
      </c>
      <c r="E216" s="182" t="s">
        <v>299</v>
      </c>
      <c r="K216" s="2"/>
      <c r="L216" s="183">
        <v>44907</v>
      </c>
      <c r="N216" s="15">
        <f>+O216</f>
        <v>44909</v>
      </c>
      <c r="O216" s="183">
        <v>44909</v>
      </c>
      <c r="P216" s="10">
        <f>+L216-N216</f>
        <v>-2</v>
      </c>
      <c r="Q216" s="10">
        <f>+N216-O216</f>
        <v>0</v>
      </c>
      <c r="R216" s="10">
        <f>+L216-O216</f>
        <v>-2</v>
      </c>
      <c r="S216" s="10">
        <f>+R216-30</f>
        <v>-32</v>
      </c>
      <c r="T216" s="8">
        <f>+Q216*D216</f>
        <v>0</v>
      </c>
      <c r="U216" s="8">
        <f>+S216*D216</f>
        <v>-1120</v>
      </c>
      <c r="V216" s="118">
        <f>IF(Q216&gt;30,200+E216,100+E216)</f>
        <v>129</v>
      </c>
    </row>
    <row r="217" spans="1:22" ht="15" x14ac:dyDescent="0.25">
      <c r="A217" s="182" t="s">
        <v>516</v>
      </c>
      <c r="B217" s="183">
        <v>44911</v>
      </c>
      <c r="C217" s="182" t="s">
        <v>517</v>
      </c>
      <c r="D217" s="184">
        <v>3792.96</v>
      </c>
      <c r="E217" s="182" t="s">
        <v>299</v>
      </c>
      <c r="K217" s="2"/>
      <c r="L217" s="183">
        <v>44911</v>
      </c>
      <c r="N217" s="15">
        <f>+O217</f>
        <v>44915</v>
      </c>
      <c r="O217" s="183">
        <v>44915</v>
      </c>
      <c r="P217" s="10">
        <f>+L217-N217</f>
        <v>-4</v>
      </c>
      <c r="Q217" s="10">
        <f>+N217-O217</f>
        <v>0</v>
      </c>
      <c r="R217" s="10">
        <f>+L217-O217</f>
        <v>-4</v>
      </c>
      <c r="S217" s="10">
        <f>+R217-30</f>
        <v>-34</v>
      </c>
      <c r="T217" s="8">
        <f>+Q217*D217</f>
        <v>0</v>
      </c>
      <c r="U217" s="8">
        <f>+S217*D217</f>
        <v>-128960.64</v>
      </c>
      <c r="V217" s="118">
        <f>IF(Q217&gt;30,200+E217,100+E217)</f>
        <v>129</v>
      </c>
    </row>
    <row r="218" spans="1:22" ht="15" x14ac:dyDescent="0.25">
      <c r="A218" s="182" t="s">
        <v>518</v>
      </c>
      <c r="B218" s="183">
        <v>44911</v>
      </c>
      <c r="C218" s="182" t="s">
        <v>519</v>
      </c>
      <c r="D218" s="184">
        <v>1694</v>
      </c>
      <c r="E218" s="182" t="s">
        <v>299</v>
      </c>
      <c r="K218" s="2"/>
      <c r="L218" s="183">
        <v>44911</v>
      </c>
      <c r="N218" s="15">
        <f>+O218</f>
        <v>44925</v>
      </c>
      <c r="O218" s="183">
        <v>44925</v>
      </c>
      <c r="P218" s="10">
        <f>+L218-N218</f>
        <v>-14</v>
      </c>
      <c r="Q218" s="10">
        <f>+N218-O218</f>
        <v>0</v>
      </c>
      <c r="R218" s="10">
        <f>+L218-O218</f>
        <v>-14</v>
      </c>
      <c r="S218" s="10">
        <f>+R218-30</f>
        <v>-44</v>
      </c>
      <c r="T218" s="8">
        <f>+Q218*D218</f>
        <v>0</v>
      </c>
      <c r="U218" s="8">
        <f>+S218*D218</f>
        <v>-74536</v>
      </c>
      <c r="V218" s="118">
        <f>IF(Q218&gt;30,200+E218,100+E218)</f>
        <v>129</v>
      </c>
    </row>
    <row r="219" spans="1:22" ht="15" x14ac:dyDescent="0.25">
      <c r="A219" s="182" t="s">
        <v>520</v>
      </c>
      <c r="B219" s="183">
        <v>44911</v>
      </c>
      <c r="C219" s="182" t="s">
        <v>521</v>
      </c>
      <c r="D219" s="184">
        <v>1851.3</v>
      </c>
      <c r="E219" s="182" t="s">
        <v>299</v>
      </c>
      <c r="K219" s="2"/>
      <c r="L219" s="183">
        <v>44911</v>
      </c>
      <c r="N219" s="15">
        <f>+O219</f>
        <v>44915</v>
      </c>
      <c r="O219" s="183">
        <v>44915</v>
      </c>
      <c r="P219" s="10">
        <f>+L219-N219</f>
        <v>-4</v>
      </c>
      <c r="Q219" s="10">
        <f>+N219-O219</f>
        <v>0</v>
      </c>
      <c r="R219" s="10">
        <f>+L219-O219</f>
        <v>-4</v>
      </c>
      <c r="S219" s="10">
        <f>+R219-30</f>
        <v>-34</v>
      </c>
      <c r="T219" s="8">
        <f>+Q219*D219</f>
        <v>0</v>
      </c>
      <c r="U219" s="8">
        <f>+S219*D219</f>
        <v>-62944.2</v>
      </c>
      <c r="V219" s="118">
        <f>IF(Q219&gt;30,200+E219,100+E219)</f>
        <v>129</v>
      </c>
    </row>
    <row r="220" spans="1:22" ht="15" x14ac:dyDescent="0.25">
      <c r="A220" s="182" t="s">
        <v>522</v>
      </c>
      <c r="B220" s="183">
        <v>44897</v>
      </c>
      <c r="C220" s="182" t="s">
        <v>523</v>
      </c>
      <c r="D220" s="184">
        <v>17.5</v>
      </c>
      <c r="E220" s="182" t="s">
        <v>299</v>
      </c>
      <c r="K220" s="2"/>
      <c r="L220" s="183">
        <v>44896</v>
      </c>
      <c r="N220" s="15">
        <f>+O220</f>
        <v>44896</v>
      </c>
      <c r="O220" s="183">
        <v>44896</v>
      </c>
      <c r="P220" s="10">
        <f>+L220-N220</f>
        <v>0</v>
      </c>
      <c r="Q220" s="10">
        <f>+N220-O220</f>
        <v>0</v>
      </c>
      <c r="R220" s="10">
        <f>+L220-O220</f>
        <v>0</v>
      </c>
      <c r="S220" s="10">
        <f>+R220-30</f>
        <v>-30</v>
      </c>
      <c r="T220" s="8">
        <f>+Q220*D220</f>
        <v>0</v>
      </c>
      <c r="U220" s="8">
        <f>+S220*D220</f>
        <v>-525</v>
      </c>
      <c r="V220" s="118">
        <f>IF(Q220&gt;30,200+E220,100+E220)</f>
        <v>129</v>
      </c>
    </row>
    <row r="221" spans="1:22" ht="15" x14ac:dyDescent="0.25">
      <c r="A221" s="182" t="s">
        <v>524</v>
      </c>
      <c r="B221" s="183">
        <v>44896</v>
      </c>
      <c r="C221" s="182" t="s">
        <v>525</v>
      </c>
      <c r="D221" s="184">
        <v>124.03</v>
      </c>
      <c r="E221" s="182" t="s">
        <v>299</v>
      </c>
      <c r="K221" s="2"/>
      <c r="L221" s="183">
        <v>44896</v>
      </c>
      <c r="N221" s="15">
        <f>+O221</f>
        <v>44896</v>
      </c>
      <c r="O221" s="183">
        <v>44896</v>
      </c>
      <c r="P221" s="10">
        <f>+L221-N221</f>
        <v>0</v>
      </c>
      <c r="Q221" s="10">
        <f>+N221-O221</f>
        <v>0</v>
      </c>
      <c r="R221" s="10">
        <f>+L221-O221</f>
        <v>0</v>
      </c>
      <c r="S221" s="10">
        <f>+R221-30</f>
        <v>-30</v>
      </c>
      <c r="T221" s="8">
        <f>+Q221*D221</f>
        <v>0</v>
      </c>
      <c r="U221" s="8">
        <f>+S221*D221</f>
        <v>-3720.9</v>
      </c>
      <c r="V221" s="118">
        <f>IF(Q221&gt;30,200+E221,100+E221)</f>
        <v>129</v>
      </c>
    </row>
    <row r="222" spans="1:22" ht="15" x14ac:dyDescent="0.25">
      <c r="A222" s="182" t="s">
        <v>526</v>
      </c>
      <c r="B222" s="183">
        <v>44911</v>
      </c>
      <c r="C222" s="182" t="s">
        <v>161</v>
      </c>
      <c r="D222" s="184">
        <v>200</v>
      </c>
      <c r="E222" s="182" t="s">
        <v>299</v>
      </c>
      <c r="K222" s="2"/>
      <c r="L222" s="183">
        <v>44911</v>
      </c>
      <c r="N222" s="15">
        <f>+O222</f>
        <v>44915</v>
      </c>
      <c r="O222" s="183">
        <v>44915</v>
      </c>
      <c r="P222" s="10">
        <f>+L222-N222</f>
        <v>-4</v>
      </c>
      <c r="Q222" s="10">
        <f>+N222-O222</f>
        <v>0</v>
      </c>
      <c r="R222" s="10">
        <f>+L222-O222</f>
        <v>-4</v>
      </c>
      <c r="S222" s="10">
        <f>+R222-30</f>
        <v>-34</v>
      </c>
      <c r="T222" s="8">
        <f>+Q222*D222</f>
        <v>0</v>
      </c>
      <c r="U222" s="8">
        <f>+S222*D222</f>
        <v>-6800</v>
      </c>
      <c r="V222" s="118">
        <f>IF(Q222&gt;30,200+E222,100+E222)</f>
        <v>129</v>
      </c>
    </row>
    <row r="223" spans="1:22" ht="15" x14ac:dyDescent="0.25">
      <c r="A223" s="182" t="s">
        <v>527</v>
      </c>
      <c r="B223" s="183">
        <v>44866</v>
      </c>
      <c r="C223" s="182" t="s">
        <v>528</v>
      </c>
      <c r="D223" s="184">
        <v>5580</v>
      </c>
      <c r="E223" s="182" t="s">
        <v>299</v>
      </c>
      <c r="K223" s="2"/>
      <c r="L223" s="183">
        <v>44895</v>
      </c>
      <c r="N223" s="15">
        <f>+O223</f>
        <v>44915</v>
      </c>
      <c r="O223" s="183">
        <v>44915</v>
      </c>
      <c r="P223" s="10">
        <f>+L223-N223</f>
        <v>-20</v>
      </c>
      <c r="Q223" s="10">
        <f>+N223-O223</f>
        <v>0</v>
      </c>
      <c r="R223" s="10">
        <f>+L223-O223</f>
        <v>-20</v>
      </c>
      <c r="S223" s="10">
        <f>+R223-30</f>
        <v>-50</v>
      </c>
      <c r="T223" s="8">
        <f>+Q223*D223</f>
        <v>0</v>
      </c>
      <c r="U223" s="8">
        <f>+S223*D223</f>
        <v>-279000</v>
      </c>
      <c r="V223" s="118">
        <f>IF(Q223&gt;30,200+E223,100+E223)</f>
        <v>129</v>
      </c>
    </row>
    <row r="224" spans="1:22" ht="15" x14ac:dyDescent="0.25">
      <c r="A224" s="182" t="s">
        <v>529</v>
      </c>
      <c r="B224" s="183">
        <v>44910</v>
      </c>
      <c r="C224" s="182" t="s">
        <v>530</v>
      </c>
      <c r="D224" s="184">
        <v>29.66</v>
      </c>
      <c r="E224" s="182" t="s">
        <v>299</v>
      </c>
      <c r="K224" s="2"/>
      <c r="L224" s="183">
        <v>44910</v>
      </c>
      <c r="N224" s="15">
        <f>+O224</f>
        <v>44916</v>
      </c>
      <c r="O224" s="183">
        <v>44916</v>
      </c>
      <c r="P224" s="10">
        <f>+L224-N224</f>
        <v>-6</v>
      </c>
      <c r="Q224" s="10">
        <f>+N224-O224</f>
        <v>0</v>
      </c>
      <c r="R224" s="10">
        <f>+L224-O224</f>
        <v>-6</v>
      </c>
      <c r="S224" s="10">
        <f>+R224-30</f>
        <v>-36</v>
      </c>
      <c r="T224" s="8">
        <f>+Q224*D224</f>
        <v>0</v>
      </c>
      <c r="U224" s="8">
        <f>+S224*D224</f>
        <v>-1067.76</v>
      </c>
      <c r="V224" s="118">
        <f>IF(Q224&gt;30,200+E224,100+E224)</f>
        <v>129</v>
      </c>
    </row>
    <row r="225" spans="1:22" ht="15" x14ac:dyDescent="0.25">
      <c r="A225" s="182" t="s">
        <v>531</v>
      </c>
      <c r="B225" s="183">
        <v>44909</v>
      </c>
      <c r="C225" s="182" t="s">
        <v>532</v>
      </c>
      <c r="D225" s="184">
        <v>363</v>
      </c>
      <c r="E225" s="182" t="s">
        <v>299</v>
      </c>
      <c r="K225" s="2"/>
      <c r="L225" s="183">
        <v>44909</v>
      </c>
      <c r="N225" s="15">
        <f>+O225</f>
        <v>44915</v>
      </c>
      <c r="O225" s="183">
        <v>44915</v>
      </c>
      <c r="P225" s="10">
        <f>+L225-N225</f>
        <v>-6</v>
      </c>
      <c r="Q225" s="10">
        <f>+N225-O225</f>
        <v>0</v>
      </c>
      <c r="R225" s="10">
        <f>+L225-O225</f>
        <v>-6</v>
      </c>
      <c r="S225" s="10">
        <f>+R225-30</f>
        <v>-36</v>
      </c>
      <c r="T225" s="8">
        <f>+Q225*D225</f>
        <v>0</v>
      </c>
      <c r="U225" s="8">
        <f>+S225*D225</f>
        <v>-13068</v>
      </c>
      <c r="V225" s="118">
        <f>IF(Q225&gt;30,200+E225,100+E225)</f>
        <v>129</v>
      </c>
    </row>
    <row r="226" spans="1:22" ht="15" x14ac:dyDescent="0.25">
      <c r="A226" s="182" t="s">
        <v>533</v>
      </c>
      <c r="B226" s="183">
        <v>44914</v>
      </c>
      <c r="C226" s="182" t="s">
        <v>534</v>
      </c>
      <c r="D226" s="184">
        <v>7249.84</v>
      </c>
      <c r="E226" s="182" t="s">
        <v>299</v>
      </c>
      <c r="K226" s="2"/>
      <c r="L226" s="183">
        <v>44914</v>
      </c>
      <c r="N226" s="15">
        <f>+O226</f>
        <v>44915</v>
      </c>
      <c r="O226" s="183">
        <v>44915</v>
      </c>
      <c r="P226" s="10">
        <f>+L226-N226</f>
        <v>-1</v>
      </c>
      <c r="Q226" s="10">
        <f>+N226-O226</f>
        <v>0</v>
      </c>
      <c r="R226" s="10">
        <f>+L226-O226</f>
        <v>-1</v>
      </c>
      <c r="S226" s="10">
        <f>+R226-30</f>
        <v>-31</v>
      </c>
      <c r="T226" s="8">
        <f>+Q226*D226</f>
        <v>0</v>
      </c>
      <c r="U226" s="8">
        <f>+S226*D226</f>
        <v>-224745.04</v>
      </c>
      <c r="V226" s="118">
        <f>IF(Q226&gt;30,200+E226,100+E226)</f>
        <v>129</v>
      </c>
    </row>
    <row r="227" spans="1:22" ht="15" x14ac:dyDescent="0.25">
      <c r="A227" s="182" t="s">
        <v>535</v>
      </c>
      <c r="B227" s="183">
        <v>44914</v>
      </c>
      <c r="C227" s="182" t="s">
        <v>536</v>
      </c>
      <c r="D227" s="184">
        <v>2250</v>
      </c>
      <c r="E227" s="182" t="s">
        <v>299</v>
      </c>
      <c r="K227" s="2"/>
      <c r="L227" s="183">
        <v>44914</v>
      </c>
      <c r="N227" s="15">
        <f>+O227</f>
        <v>44915</v>
      </c>
      <c r="O227" s="183">
        <v>44915</v>
      </c>
      <c r="P227" s="10">
        <f>+L227-N227</f>
        <v>-1</v>
      </c>
      <c r="Q227" s="10">
        <f>+N227-O227</f>
        <v>0</v>
      </c>
      <c r="R227" s="10">
        <f>+L227-O227</f>
        <v>-1</v>
      </c>
      <c r="S227" s="10">
        <f>+R227-30</f>
        <v>-31</v>
      </c>
      <c r="T227" s="8">
        <f>+Q227*D227</f>
        <v>0</v>
      </c>
      <c r="U227" s="8">
        <f>+S227*D227</f>
        <v>-69750</v>
      </c>
      <c r="V227" s="118">
        <f>IF(Q227&gt;30,200+E227,100+E227)</f>
        <v>129</v>
      </c>
    </row>
    <row r="228" spans="1:22" ht="15" x14ac:dyDescent="0.25">
      <c r="A228" s="182" t="s">
        <v>537</v>
      </c>
      <c r="B228" s="183">
        <v>44914</v>
      </c>
      <c r="C228" s="182" t="s">
        <v>538</v>
      </c>
      <c r="D228" s="184">
        <v>5432.94</v>
      </c>
      <c r="E228" s="182" t="s">
        <v>299</v>
      </c>
      <c r="K228" s="2"/>
      <c r="L228" s="183">
        <v>44914</v>
      </c>
      <c r="N228" s="15">
        <f>+O228</f>
        <v>44915</v>
      </c>
      <c r="O228" s="183">
        <v>44915</v>
      </c>
      <c r="P228" s="10">
        <f>+L228-N228</f>
        <v>-1</v>
      </c>
      <c r="Q228" s="10">
        <f>+N228-O228</f>
        <v>0</v>
      </c>
      <c r="R228" s="10">
        <f>+L228-O228</f>
        <v>-1</v>
      </c>
      <c r="S228" s="10">
        <f>+R228-30</f>
        <v>-31</v>
      </c>
      <c r="T228" s="8">
        <f>+Q228*D228</f>
        <v>0</v>
      </c>
      <c r="U228" s="8">
        <f>+S228*D228</f>
        <v>-168421.13999999998</v>
      </c>
      <c r="V228" s="118">
        <f>IF(Q228&gt;30,200+E228,100+E228)</f>
        <v>129</v>
      </c>
    </row>
    <row r="229" spans="1:22" ht="15" x14ac:dyDescent="0.25">
      <c r="A229" s="182" t="s">
        <v>539</v>
      </c>
      <c r="B229" s="183">
        <v>44914</v>
      </c>
      <c r="C229" s="182" t="s">
        <v>540</v>
      </c>
      <c r="D229" s="184">
        <v>1017.61</v>
      </c>
      <c r="E229" s="182" t="s">
        <v>299</v>
      </c>
      <c r="K229" s="2"/>
      <c r="L229" s="183">
        <v>44914</v>
      </c>
      <c r="N229" s="15">
        <f>+O229</f>
        <v>44915</v>
      </c>
      <c r="O229" s="183">
        <v>44915</v>
      </c>
      <c r="P229" s="10">
        <f>+L229-N229</f>
        <v>-1</v>
      </c>
      <c r="Q229" s="10">
        <f>+N229-O229</f>
        <v>0</v>
      </c>
      <c r="R229" s="10">
        <f>+L229-O229</f>
        <v>-1</v>
      </c>
      <c r="S229" s="10">
        <f>+R229-30</f>
        <v>-31</v>
      </c>
      <c r="T229" s="8">
        <f>+Q229*D229</f>
        <v>0</v>
      </c>
      <c r="U229" s="8">
        <f>+S229*D229</f>
        <v>-31545.91</v>
      </c>
      <c r="V229" s="118">
        <f>IF(Q229&gt;30,200+E229,100+E229)</f>
        <v>129</v>
      </c>
    </row>
    <row r="230" spans="1:22" ht="15" x14ac:dyDescent="0.25">
      <c r="A230" s="182" t="s">
        <v>541</v>
      </c>
      <c r="B230" s="183">
        <v>44910</v>
      </c>
      <c r="C230" s="182" t="s">
        <v>542</v>
      </c>
      <c r="D230" s="184">
        <v>726</v>
      </c>
      <c r="E230" s="182" t="s">
        <v>299</v>
      </c>
      <c r="K230" s="2"/>
      <c r="L230" s="183">
        <v>44910</v>
      </c>
      <c r="N230" s="15">
        <f>+O230</f>
        <v>44923</v>
      </c>
      <c r="O230" s="183">
        <v>44923</v>
      </c>
      <c r="P230" s="10">
        <f>+L230-N230</f>
        <v>-13</v>
      </c>
      <c r="Q230" s="10">
        <f>+N230-O230</f>
        <v>0</v>
      </c>
      <c r="R230" s="10">
        <f>+L230-O230</f>
        <v>-13</v>
      </c>
      <c r="S230" s="10">
        <f>+R230-30</f>
        <v>-43</v>
      </c>
      <c r="T230" s="8">
        <f>+Q230*D230</f>
        <v>0</v>
      </c>
      <c r="U230" s="8">
        <f>+S230*D230</f>
        <v>-31218</v>
      </c>
      <c r="V230" s="118">
        <f>IF(Q230&gt;30,200+E230,100+E230)</f>
        <v>129</v>
      </c>
    </row>
    <row r="231" spans="1:22" ht="15" x14ac:dyDescent="0.25">
      <c r="A231" s="182" t="s">
        <v>543</v>
      </c>
      <c r="B231" s="183">
        <v>44889</v>
      </c>
      <c r="C231" s="182" t="s">
        <v>544</v>
      </c>
      <c r="D231" s="184">
        <v>104.36</v>
      </c>
      <c r="E231" s="182" t="s">
        <v>299</v>
      </c>
      <c r="K231" s="2"/>
      <c r="L231" s="183">
        <v>44889</v>
      </c>
      <c r="N231" s="15">
        <f>+O231</f>
        <v>44889</v>
      </c>
      <c r="O231" s="183">
        <v>44889</v>
      </c>
      <c r="P231" s="10">
        <f>+L231-N231</f>
        <v>0</v>
      </c>
      <c r="Q231" s="10">
        <f>+N231-O231</f>
        <v>0</v>
      </c>
      <c r="R231" s="10">
        <f>+L231-O231</f>
        <v>0</v>
      </c>
      <c r="S231" s="10">
        <f>+R231-30</f>
        <v>-30</v>
      </c>
      <c r="T231" s="8">
        <f>+Q231*D231</f>
        <v>0</v>
      </c>
      <c r="U231" s="8">
        <f>+S231*D231</f>
        <v>-3130.8</v>
      </c>
      <c r="V231" s="118">
        <f>IF(Q231&gt;30,200+E231,100+E231)</f>
        <v>129</v>
      </c>
    </row>
    <row r="232" spans="1:22" ht="15" x14ac:dyDescent="0.25">
      <c r="A232" s="182" t="s">
        <v>545</v>
      </c>
      <c r="B232" s="183">
        <v>44894</v>
      </c>
      <c r="C232" s="182" t="s">
        <v>546</v>
      </c>
      <c r="D232" s="184">
        <v>59.11</v>
      </c>
      <c r="E232" s="182" t="s">
        <v>299</v>
      </c>
      <c r="K232" s="2"/>
      <c r="L232" s="183">
        <v>44894</v>
      </c>
      <c r="N232" s="15">
        <f>+O232</f>
        <v>44894</v>
      </c>
      <c r="O232" s="183">
        <v>44894</v>
      </c>
      <c r="P232" s="10">
        <f>+L232-N232</f>
        <v>0</v>
      </c>
      <c r="Q232" s="10">
        <f>+N232-O232</f>
        <v>0</v>
      </c>
      <c r="R232" s="10">
        <f>+L232-O232</f>
        <v>0</v>
      </c>
      <c r="S232" s="10">
        <f>+R232-30</f>
        <v>-30</v>
      </c>
      <c r="T232" s="8">
        <f>+Q232*D232</f>
        <v>0</v>
      </c>
      <c r="U232" s="8">
        <f>+S232*D232</f>
        <v>-1773.3</v>
      </c>
      <c r="V232" s="118">
        <f>IF(Q232&gt;30,200+E232,100+E232)</f>
        <v>129</v>
      </c>
    </row>
    <row r="233" spans="1:22" ht="15" x14ac:dyDescent="0.25">
      <c r="A233" s="182" t="s">
        <v>547</v>
      </c>
      <c r="B233" s="183">
        <v>44894</v>
      </c>
      <c r="C233" s="182" t="s">
        <v>548</v>
      </c>
      <c r="D233" s="184">
        <v>372.52</v>
      </c>
      <c r="E233" s="182" t="s">
        <v>299</v>
      </c>
      <c r="K233" s="2"/>
      <c r="L233" s="183">
        <v>44894</v>
      </c>
      <c r="N233" s="15">
        <f>+O233</f>
        <v>44924</v>
      </c>
      <c r="O233" s="183">
        <v>44924</v>
      </c>
      <c r="P233" s="10">
        <f>+L233-N233</f>
        <v>-30</v>
      </c>
      <c r="Q233" s="10">
        <f>+N233-O233</f>
        <v>0</v>
      </c>
      <c r="R233" s="10">
        <f>+L233-O233</f>
        <v>-30</v>
      </c>
      <c r="S233" s="10">
        <f>+R233-30</f>
        <v>-60</v>
      </c>
      <c r="T233" s="8">
        <f>+Q233*D233</f>
        <v>0</v>
      </c>
      <c r="U233" s="8">
        <f>+S233*D233</f>
        <v>-22351.199999999997</v>
      </c>
      <c r="V233" s="118">
        <f>IF(Q233&gt;30,200+E233,100+E233)</f>
        <v>129</v>
      </c>
    </row>
    <row r="234" spans="1:22" ht="15" x14ac:dyDescent="0.25">
      <c r="A234" s="182" t="s">
        <v>549</v>
      </c>
      <c r="B234" s="183">
        <v>44916</v>
      </c>
      <c r="C234" s="182" t="s">
        <v>550</v>
      </c>
      <c r="D234" s="184">
        <v>26.28</v>
      </c>
      <c r="E234" s="182" t="s">
        <v>299</v>
      </c>
      <c r="K234" s="2"/>
      <c r="L234" s="183">
        <v>44916</v>
      </c>
      <c r="N234" s="15">
        <f>+O234</f>
        <v>44922</v>
      </c>
      <c r="O234" s="183">
        <v>44922</v>
      </c>
      <c r="P234" s="10">
        <f>+L234-N234</f>
        <v>-6</v>
      </c>
      <c r="Q234" s="10">
        <f>+N234-O234</f>
        <v>0</v>
      </c>
      <c r="R234" s="10">
        <f>+L234-O234</f>
        <v>-6</v>
      </c>
      <c r="S234" s="10">
        <f>+R234-30</f>
        <v>-36</v>
      </c>
      <c r="T234" s="8">
        <f>+Q234*D234</f>
        <v>0</v>
      </c>
      <c r="U234" s="8">
        <f>+S234*D234</f>
        <v>-946.08</v>
      </c>
      <c r="V234" s="118">
        <f>IF(Q234&gt;30,200+E234,100+E234)</f>
        <v>129</v>
      </c>
    </row>
    <row r="235" spans="1:22" ht="15" x14ac:dyDescent="0.25">
      <c r="A235" s="182" t="s">
        <v>551</v>
      </c>
      <c r="B235" s="183">
        <v>44917</v>
      </c>
      <c r="C235" s="182" t="s">
        <v>552</v>
      </c>
      <c r="D235" s="184">
        <v>550</v>
      </c>
      <c r="E235" s="182" t="s">
        <v>299</v>
      </c>
      <c r="K235" s="2"/>
      <c r="L235" s="183">
        <v>44917</v>
      </c>
      <c r="N235" s="15">
        <f>+O235</f>
        <v>44923</v>
      </c>
      <c r="O235" s="183">
        <v>44923</v>
      </c>
      <c r="P235" s="10">
        <f>+L235-N235</f>
        <v>-6</v>
      </c>
      <c r="Q235" s="10">
        <f>+N235-O235</f>
        <v>0</v>
      </c>
      <c r="R235" s="10">
        <f>+L235-O235</f>
        <v>-6</v>
      </c>
      <c r="S235" s="10">
        <f>+R235-30</f>
        <v>-36</v>
      </c>
      <c r="T235" s="8">
        <f>+Q235*D235</f>
        <v>0</v>
      </c>
      <c r="U235" s="8">
        <f>+S235*D235</f>
        <v>-19800</v>
      </c>
      <c r="V235" s="118">
        <f>IF(Q235&gt;30,200+E235,100+E235)</f>
        <v>129</v>
      </c>
    </row>
    <row r="236" spans="1:22" ht="15" x14ac:dyDescent="0.25">
      <c r="A236" s="182" t="s">
        <v>553</v>
      </c>
      <c r="B236" s="183">
        <v>44915</v>
      </c>
      <c r="C236" s="182" t="s">
        <v>554</v>
      </c>
      <c r="D236" s="184">
        <v>290.39999999999998</v>
      </c>
      <c r="E236" s="182" t="s">
        <v>299</v>
      </c>
      <c r="K236" s="2"/>
      <c r="L236" s="183">
        <v>44915</v>
      </c>
      <c r="N236" s="15">
        <f>+O236</f>
        <v>44923</v>
      </c>
      <c r="O236" s="183">
        <v>44923</v>
      </c>
      <c r="P236" s="10">
        <f>+L236-N236</f>
        <v>-8</v>
      </c>
      <c r="Q236" s="10">
        <f>+N236-O236</f>
        <v>0</v>
      </c>
      <c r="R236" s="10">
        <f>+L236-O236</f>
        <v>-8</v>
      </c>
      <c r="S236" s="10">
        <f>+R236-30</f>
        <v>-38</v>
      </c>
      <c r="T236" s="8">
        <f>+Q236*D236</f>
        <v>0</v>
      </c>
      <c r="U236" s="8">
        <f>+S236*D236</f>
        <v>-11035.199999999999</v>
      </c>
      <c r="V236" s="118">
        <f>IF(Q236&gt;30,200+E236,100+E236)</f>
        <v>129</v>
      </c>
    </row>
    <row r="237" spans="1:22" ht="15" x14ac:dyDescent="0.25">
      <c r="A237" s="182" t="s">
        <v>555</v>
      </c>
      <c r="B237" s="183">
        <v>44914</v>
      </c>
      <c r="C237" s="182" t="s">
        <v>556</v>
      </c>
      <c r="D237" s="184">
        <v>573.91999999999996</v>
      </c>
      <c r="E237" s="182" t="s">
        <v>299</v>
      </c>
      <c r="K237" s="2"/>
      <c r="L237" s="183">
        <v>44914</v>
      </c>
      <c r="N237" s="15">
        <f>+O237</f>
        <v>44923</v>
      </c>
      <c r="O237" s="183">
        <v>44923</v>
      </c>
      <c r="P237" s="10">
        <f>+L237-N237</f>
        <v>-9</v>
      </c>
      <c r="Q237" s="10">
        <f>+N237-O237</f>
        <v>0</v>
      </c>
      <c r="R237" s="10">
        <f>+L237-O237</f>
        <v>-9</v>
      </c>
      <c r="S237" s="10">
        <f>+R237-30</f>
        <v>-39</v>
      </c>
      <c r="T237" s="8">
        <f>+Q237*D237</f>
        <v>0</v>
      </c>
      <c r="U237" s="8">
        <f>+S237*D237</f>
        <v>-22382.879999999997</v>
      </c>
      <c r="V237" s="118">
        <f>IF(Q237&gt;30,200+E237,100+E237)</f>
        <v>129</v>
      </c>
    </row>
    <row r="238" spans="1:22" ht="15" x14ac:dyDescent="0.25">
      <c r="A238" s="182" t="s">
        <v>557</v>
      </c>
      <c r="B238" s="183">
        <v>44916</v>
      </c>
      <c r="C238" s="182" t="s">
        <v>558</v>
      </c>
      <c r="D238" s="184">
        <v>8708.3700000000008</v>
      </c>
      <c r="E238" s="182" t="s">
        <v>299</v>
      </c>
      <c r="K238" s="2"/>
      <c r="L238" s="183">
        <v>44916</v>
      </c>
      <c r="N238" s="15">
        <f>+O238</f>
        <v>44923</v>
      </c>
      <c r="O238" s="183">
        <v>44923</v>
      </c>
      <c r="P238" s="10">
        <f>+L238-N238</f>
        <v>-7</v>
      </c>
      <c r="Q238" s="10">
        <f>+N238-O238</f>
        <v>0</v>
      </c>
      <c r="R238" s="10">
        <f>+L238-O238</f>
        <v>-7</v>
      </c>
      <c r="S238" s="10">
        <f>+R238-30</f>
        <v>-37</v>
      </c>
      <c r="T238" s="8">
        <f>+Q238*D238</f>
        <v>0</v>
      </c>
      <c r="U238" s="8">
        <f>+S238*D238</f>
        <v>-322209.69</v>
      </c>
      <c r="V238" s="118">
        <f>IF(Q238&gt;30,200+E238,100+E238)</f>
        <v>129</v>
      </c>
    </row>
    <row r="239" spans="1:22" ht="15" x14ac:dyDescent="0.25">
      <c r="A239" s="182" t="s">
        <v>559</v>
      </c>
      <c r="B239" s="183">
        <v>44922</v>
      </c>
      <c r="C239" s="182" t="s">
        <v>560</v>
      </c>
      <c r="D239" s="184">
        <v>145.19999999999999</v>
      </c>
      <c r="E239" s="182" t="s">
        <v>299</v>
      </c>
      <c r="K239" s="2"/>
      <c r="L239" s="183">
        <v>44922</v>
      </c>
      <c r="N239" s="15">
        <f>+O239</f>
        <v>44923</v>
      </c>
      <c r="O239" s="183">
        <v>44923</v>
      </c>
      <c r="P239" s="10">
        <f>+L239-N239</f>
        <v>-1</v>
      </c>
      <c r="Q239" s="10">
        <f>+N239-O239</f>
        <v>0</v>
      </c>
      <c r="R239" s="10">
        <f>+L239-O239</f>
        <v>-1</v>
      </c>
      <c r="S239" s="10">
        <f>+R239-30</f>
        <v>-31</v>
      </c>
      <c r="T239" s="8">
        <f>+Q239*D239</f>
        <v>0</v>
      </c>
      <c r="U239" s="8">
        <f>+S239*D239</f>
        <v>-4501.2</v>
      </c>
      <c r="V239" s="118">
        <f>IF(Q239&gt;30,200+E239,100+E239)</f>
        <v>129</v>
      </c>
    </row>
    <row r="240" spans="1:22" ht="15" x14ac:dyDescent="0.25">
      <c r="A240" s="182" t="s">
        <v>561</v>
      </c>
      <c r="B240" s="183">
        <v>44922</v>
      </c>
      <c r="C240" s="182" t="s">
        <v>562</v>
      </c>
      <c r="D240" s="184">
        <v>254.1</v>
      </c>
      <c r="E240" s="182" t="s">
        <v>299</v>
      </c>
      <c r="K240" s="2"/>
      <c r="L240" s="183">
        <v>44922</v>
      </c>
      <c r="N240" s="15">
        <f>+O240</f>
        <v>44923</v>
      </c>
      <c r="O240" s="183">
        <v>44923</v>
      </c>
      <c r="P240" s="10">
        <f>+L240-N240</f>
        <v>-1</v>
      </c>
      <c r="Q240" s="10">
        <f>+N240-O240</f>
        <v>0</v>
      </c>
      <c r="R240" s="10">
        <f>+L240-O240</f>
        <v>-1</v>
      </c>
      <c r="S240" s="10">
        <f>+R240-30</f>
        <v>-31</v>
      </c>
      <c r="T240" s="8">
        <f>+Q240*D240</f>
        <v>0</v>
      </c>
      <c r="U240" s="8">
        <f>+S240*D240</f>
        <v>-7877.0999999999995</v>
      </c>
      <c r="V240" s="118">
        <f>IF(Q240&gt;30,200+E240,100+E240)</f>
        <v>129</v>
      </c>
    </row>
    <row r="241" spans="1:22" ht="15" x14ac:dyDescent="0.25">
      <c r="A241" s="182" t="s">
        <v>563</v>
      </c>
      <c r="B241" s="183">
        <v>44926</v>
      </c>
      <c r="C241" s="182" t="s">
        <v>564</v>
      </c>
      <c r="D241" s="184">
        <v>1108.17</v>
      </c>
      <c r="E241" s="182" t="s">
        <v>299</v>
      </c>
      <c r="K241" s="2"/>
      <c r="L241" s="183">
        <v>44926</v>
      </c>
      <c r="N241" s="15">
        <f>+O241</f>
        <v>44926</v>
      </c>
      <c r="O241" s="183">
        <v>44926</v>
      </c>
      <c r="P241" s="10">
        <f>+L241-N241</f>
        <v>0</v>
      </c>
      <c r="Q241" s="10">
        <f>+N241-O241</f>
        <v>0</v>
      </c>
      <c r="R241" s="10">
        <f>+L241-O241</f>
        <v>0</v>
      </c>
      <c r="S241" s="10">
        <f>+R241-30</f>
        <v>-30</v>
      </c>
      <c r="T241" s="8">
        <f>+Q241*D241</f>
        <v>0</v>
      </c>
      <c r="U241" s="8">
        <f>+S241*D241</f>
        <v>-33245.100000000006</v>
      </c>
      <c r="V241" s="118">
        <f>IF(Q241&gt;30,200+E241,100+E241)</f>
        <v>129</v>
      </c>
    </row>
    <row r="242" spans="1:22" ht="15" x14ac:dyDescent="0.25">
      <c r="A242" s="182" t="s">
        <v>565</v>
      </c>
      <c r="B242" s="183">
        <v>44926</v>
      </c>
      <c r="C242" s="182" t="s">
        <v>566</v>
      </c>
      <c r="D242" s="184">
        <v>1464.06</v>
      </c>
      <c r="E242" s="182" t="s">
        <v>299</v>
      </c>
      <c r="K242" s="2"/>
      <c r="L242" s="183">
        <v>44926</v>
      </c>
      <c r="N242" s="15">
        <f>+O242</f>
        <v>44926</v>
      </c>
      <c r="O242" s="183">
        <v>44926</v>
      </c>
      <c r="P242" s="10">
        <f>+L242-N242</f>
        <v>0</v>
      </c>
      <c r="Q242" s="10">
        <f>+N242-O242</f>
        <v>0</v>
      </c>
      <c r="R242" s="10">
        <f>+L242-O242</f>
        <v>0</v>
      </c>
      <c r="S242" s="10">
        <f>+R242-30</f>
        <v>-30</v>
      </c>
      <c r="T242" s="8">
        <f>+Q242*D242</f>
        <v>0</v>
      </c>
      <c r="U242" s="8">
        <f>+S242*D242</f>
        <v>-43921.799999999996</v>
      </c>
      <c r="V242" s="118">
        <f>IF(Q242&gt;30,200+E242,100+E242)</f>
        <v>129</v>
      </c>
    </row>
    <row r="243" spans="1:22" ht="15" x14ac:dyDescent="0.25">
      <c r="A243" s="182" t="s">
        <v>567</v>
      </c>
      <c r="B243" s="183">
        <v>44926</v>
      </c>
      <c r="C243" s="182" t="s">
        <v>568</v>
      </c>
      <c r="D243" s="184">
        <v>379.94</v>
      </c>
      <c r="E243" s="182" t="s">
        <v>299</v>
      </c>
      <c r="K243" s="2"/>
      <c r="L243" s="183">
        <v>44926</v>
      </c>
      <c r="N243" s="15">
        <f>+O243</f>
        <v>44926</v>
      </c>
      <c r="O243" s="183">
        <v>44926</v>
      </c>
      <c r="P243" s="10">
        <f>+L243-N243</f>
        <v>0</v>
      </c>
      <c r="Q243" s="10">
        <f>+N243-O243</f>
        <v>0</v>
      </c>
      <c r="R243" s="10">
        <f>+L243-O243</f>
        <v>0</v>
      </c>
      <c r="S243" s="10">
        <f>+R243-30</f>
        <v>-30</v>
      </c>
      <c r="T243" s="8">
        <f>+Q243*D243</f>
        <v>0</v>
      </c>
      <c r="U243" s="8">
        <f>+S243*D243</f>
        <v>-11398.2</v>
      </c>
      <c r="V243" s="118">
        <f>IF(Q243&gt;30,200+E243,100+E243)</f>
        <v>129</v>
      </c>
    </row>
    <row r="244" spans="1:22" ht="15" x14ac:dyDescent="0.25">
      <c r="A244" s="182" t="s">
        <v>569</v>
      </c>
      <c r="B244" s="183">
        <v>44926</v>
      </c>
      <c r="C244" s="182" t="s">
        <v>570</v>
      </c>
      <c r="D244" s="184">
        <v>123.29</v>
      </c>
      <c r="E244" s="182" t="s">
        <v>299</v>
      </c>
      <c r="K244" s="2"/>
      <c r="L244" s="183">
        <v>44926</v>
      </c>
      <c r="N244" s="15">
        <f>+O244</f>
        <v>44926</v>
      </c>
      <c r="O244" s="183">
        <v>44926</v>
      </c>
      <c r="P244" s="10">
        <f>+L244-N244</f>
        <v>0</v>
      </c>
      <c r="Q244" s="10">
        <f>+N244-O244</f>
        <v>0</v>
      </c>
      <c r="R244" s="10">
        <f>+L244-O244</f>
        <v>0</v>
      </c>
      <c r="S244" s="10">
        <f>+R244-30</f>
        <v>-30</v>
      </c>
      <c r="T244" s="8">
        <f>+Q244*D244</f>
        <v>0</v>
      </c>
      <c r="U244" s="8">
        <f>+S244*D244</f>
        <v>-3698.7000000000003</v>
      </c>
      <c r="V244" s="118">
        <f>IF(Q244&gt;30,200+E244,100+E244)</f>
        <v>129</v>
      </c>
    </row>
    <row r="245" spans="1:22" ht="15" x14ac:dyDescent="0.25">
      <c r="A245" s="182" t="s">
        <v>571</v>
      </c>
      <c r="B245" s="183">
        <v>44922</v>
      </c>
      <c r="C245" s="182" t="s">
        <v>572</v>
      </c>
      <c r="D245" s="184">
        <v>27.46</v>
      </c>
      <c r="E245" s="182" t="s">
        <v>299</v>
      </c>
      <c r="K245" s="2"/>
      <c r="L245" s="183">
        <v>44922</v>
      </c>
      <c r="N245" s="15">
        <f>+O245</f>
        <v>44925</v>
      </c>
      <c r="O245" s="183">
        <v>44925</v>
      </c>
      <c r="P245" s="10">
        <f>+L245-N245</f>
        <v>-3</v>
      </c>
      <c r="Q245" s="10">
        <f>+N245-O245</f>
        <v>0</v>
      </c>
      <c r="R245" s="10">
        <f>+L245-O245</f>
        <v>-3</v>
      </c>
      <c r="S245" s="10">
        <f>+R245-30</f>
        <v>-33</v>
      </c>
      <c r="T245" s="8">
        <f>+Q245*D245</f>
        <v>0</v>
      </c>
      <c r="U245" s="8">
        <f>+S245*D245</f>
        <v>-906.18000000000006</v>
      </c>
      <c r="V245" s="118">
        <f>IF(Q245&gt;30,200+E245,100+E245)</f>
        <v>129</v>
      </c>
    </row>
    <row r="246" spans="1:22" ht="15" x14ac:dyDescent="0.25">
      <c r="A246" s="182" t="s">
        <v>573</v>
      </c>
      <c r="B246" s="183">
        <v>44888</v>
      </c>
      <c r="C246" s="182" t="s">
        <v>574</v>
      </c>
      <c r="D246" s="184">
        <v>121.22</v>
      </c>
      <c r="E246" s="182" t="s">
        <v>299</v>
      </c>
      <c r="K246" s="2"/>
      <c r="L246" s="183">
        <v>44888</v>
      </c>
      <c r="N246" s="15">
        <f>+O246</f>
        <v>44923</v>
      </c>
      <c r="O246" s="183">
        <v>44923</v>
      </c>
      <c r="P246" s="10">
        <f>+L246-N246</f>
        <v>-35</v>
      </c>
      <c r="Q246" s="10">
        <f>+N246-O246</f>
        <v>0</v>
      </c>
      <c r="R246" s="10">
        <f>+L246-O246</f>
        <v>-35</v>
      </c>
      <c r="S246" s="10">
        <f>+R246-30</f>
        <v>-65</v>
      </c>
      <c r="T246" s="8">
        <f>+Q246*D246</f>
        <v>0</v>
      </c>
      <c r="U246" s="8">
        <f>+S246*D246</f>
        <v>-7879.3</v>
      </c>
      <c r="V246" s="118">
        <f>IF(Q246&gt;30,200+E246,100+E246)</f>
        <v>129</v>
      </c>
    </row>
    <row r="247" spans="1:22" ht="15" x14ac:dyDescent="0.25">
      <c r="A247" s="182" t="s">
        <v>575</v>
      </c>
      <c r="B247" s="183">
        <v>44888</v>
      </c>
      <c r="C247" s="182" t="s">
        <v>576</v>
      </c>
      <c r="D247" s="184">
        <v>121.22</v>
      </c>
      <c r="E247" s="182" t="s">
        <v>299</v>
      </c>
      <c r="K247" s="2"/>
      <c r="L247" s="183">
        <v>44888</v>
      </c>
      <c r="N247" s="15">
        <f>+O247</f>
        <v>44923</v>
      </c>
      <c r="O247" s="183">
        <v>44923</v>
      </c>
      <c r="P247" s="10">
        <f>+L247-N247</f>
        <v>-35</v>
      </c>
      <c r="Q247" s="10">
        <f>+N247-O247</f>
        <v>0</v>
      </c>
      <c r="R247" s="10">
        <f>+L247-O247</f>
        <v>-35</v>
      </c>
      <c r="S247" s="10">
        <f>+R247-30</f>
        <v>-65</v>
      </c>
      <c r="T247" s="8">
        <f>+Q247*D247</f>
        <v>0</v>
      </c>
      <c r="U247" s="8">
        <f>+S247*D247</f>
        <v>-7879.3</v>
      </c>
      <c r="V247" s="118">
        <f>IF(Q247&gt;30,200+E247,100+E247)</f>
        <v>129</v>
      </c>
    </row>
    <row r="248" spans="1:22" ht="15" x14ac:dyDescent="0.25">
      <c r="A248" s="182" t="s">
        <v>577</v>
      </c>
      <c r="B248" s="183">
        <v>44918</v>
      </c>
      <c r="C248" s="182" t="s">
        <v>578</v>
      </c>
      <c r="D248" s="184">
        <v>1977.99</v>
      </c>
      <c r="E248" s="182" t="s">
        <v>299</v>
      </c>
      <c r="K248" s="2"/>
      <c r="L248" s="183">
        <v>44918</v>
      </c>
      <c r="N248" s="15">
        <f>+O248</f>
        <v>44920</v>
      </c>
      <c r="O248" s="183">
        <v>44920</v>
      </c>
      <c r="P248" s="10">
        <f>+L248-N248</f>
        <v>-2</v>
      </c>
      <c r="Q248" s="10">
        <f>+N248-O248</f>
        <v>0</v>
      </c>
      <c r="R248" s="10">
        <f>+L248-O248</f>
        <v>-2</v>
      </c>
      <c r="S248" s="10">
        <f>+R248-30</f>
        <v>-32</v>
      </c>
      <c r="T248" s="8">
        <f>+Q248*D248</f>
        <v>0</v>
      </c>
      <c r="U248" s="8">
        <f>+S248*D248</f>
        <v>-63295.68</v>
      </c>
      <c r="V248" s="118">
        <f>IF(Q248&gt;30,200+E248,100+E248)</f>
        <v>129</v>
      </c>
    </row>
    <row r="249" spans="1:22" ht="15" x14ac:dyDescent="0.25">
      <c r="A249" s="182" t="s">
        <v>579</v>
      </c>
      <c r="B249" s="183">
        <v>44844</v>
      </c>
      <c r="C249" s="182" t="s">
        <v>580</v>
      </c>
      <c r="D249" s="184">
        <v>2855.6</v>
      </c>
      <c r="E249" s="182" t="s">
        <v>581</v>
      </c>
      <c r="K249" s="2"/>
      <c r="L249" s="183">
        <v>44844</v>
      </c>
      <c r="N249" s="15">
        <f>+O249</f>
        <v>44848</v>
      </c>
      <c r="O249" s="183">
        <v>44848</v>
      </c>
      <c r="P249" s="10">
        <f>+L249-N249</f>
        <v>-4</v>
      </c>
      <c r="Q249" s="10">
        <f>+N249-O249</f>
        <v>0</v>
      </c>
      <c r="R249" s="10">
        <f>+L249-O249</f>
        <v>-4</v>
      </c>
      <c r="S249" s="10">
        <f>+R249-30</f>
        <v>-34</v>
      </c>
      <c r="T249" s="8">
        <f>+Q249*D249</f>
        <v>0</v>
      </c>
      <c r="U249" s="8">
        <f>+S249*D249</f>
        <v>-97090.4</v>
      </c>
      <c r="V249" s="118">
        <f>IF(Q249&gt;30,200+E249,100+E249)</f>
        <v>169</v>
      </c>
    </row>
    <row r="250" spans="1:22" ht="15" x14ac:dyDescent="0.25">
      <c r="A250" s="182" t="s">
        <v>582</v>
      </c>
      <c r="B250" s="183">
        <v>44853</v>
      </c>
      <c r="C250" s="182" t="s">
        <v>583</v>
      </c>
      <c r="D250" s="184">
        <v>9868.51</v>
      </c>
      <c r="E250" s="182" t="s">
        <v>581</v>
      </c>
      <c r="K250" s="2"/>
      <c r="L250" s="183">
        <v>44853</v>
      </c>
      <c r="N250" s="15">
        <f>+O250</f>
        <v>44861</v>
      </c>
      <c r="O250" s="183">
        <v>44861</v>
      </c>
      <c r="P250" s="10">
        <f>+L250-N250</f>
        <v>-8</v>
      </c>
      <c r="Q250" s="10">
        <f>+N250-O250</f>
        <v>0</v>
      </c>
      <c r="R250" s="10">
        <f>+L250-O250</f>
        <v>-8</v>
      </c>
      <c r="S250" s="10">
        <f>+R250-30</f>
        <v>-38</v>
      </c>
      <c r="T250" s="8">
        <f>+Q250*D250</f>
        <v>0</v>
      </c>
      <c r="U250" s="8">
        <f>+S250*D250</f>
        <v>-375003.38</v>
      </c>
      <c r="V250" s="118">
        <f>IF(Q250&gt;30,200+E250,100+E250)</f>
        <v>169</v>
      </c>
    </row>
    <row r="251" spans="1:22" ht="15" x14ac:dyDescent="0.25">
      <c r="A251" s="182" t="s">
        <v>584</v>
      </c>
      <c r="B251" s="183">
        <v>44865</v>
      </c>
      <c r="C251" s="182" t="s">
        <v>585</v>
      </c>
      <c r="D251" s="184">
        <v>580.55999999999995</v>
      </c>
      <c r="E251" s="182" t="s">
        <v>581</v>
      </c>
      <c r="K251" s="2"/>
      <c r="L251" s="183">
        <v>44865</v>
      </c>
      <c r="N251" s="15">
        <f>+O251</f>
        <v>44895</v>
      </c>
      <c r="O251" s="183">
        <v>44895</v>
      </c>
      <c r="P251" s="10">
        <f>+L251-N251</f>
        <v>-30</v>
      </c>
      <c r="Q251" s="10">
        <f>+N251-O251</f>
        <v>0</v>
      </c>
      <c r="R251" s="10">
        <f>+L251-O251</f>
        <v>-30</v>
      </c>
      <c r="S251" s="10">
        <f>+R251-30</f>
        <v>-60</v>
      </c>
      <c r="T251" s="8">
        <f>+Q251*D251</f>
        <v>0</v>
      </c>
      <c r="U251" s="8">
        <f>+S251*D251</f>
        <v>-34833.599999999999</v>
      </c>
      <c r="V251" s="118">
        <f>IF(Q251&gt;30,200+E251,100+E251)</f>
        <v>169</v>
      </c>
    </row>
    <row r="252" spans="1:22" ht="15" x14ac:dyDescent="0.25">
      <c r="A252" s="182" t="s">
        <v>586</v>
      </c>
      <c r="B252" s="183">
        <v>44868</v>
      </c>
      <c r="C252" s="182" t="s">
        <v>587</v>
      </c>
      <c r="D252" s="184">
        <v>1334.23</v>
      </c>
      <c r="E252" s="182" t="s">
        <v>581</v>
      </c>
      <c r="K252" s="2"/>
      <c r="L252" s="183">
        <v>44868</v>
      </c>
      <c r="N252" s="15">
        <f>+O252</f>
        <v>44879</v>
      </c>
      <c r="O252" s="183">
        <v>44879</v>
      </c>
      <c r="P252" s="10">
        <f>+L252-N252</f>
        <v>-11</v>
      </c>
      <c r="Q252" s="10">
        <f>+N252-O252</f>
        <v>0</v>
      </c>
      <c r="R252" s="10">
        <f>+L252-O252</f>
        <v>-11</v>
      </c>
      <c r="S252" s="10">
        <f>+R252-30</f>
        <v>-41</v>
      </c>
      <c r="T252" s="8">
        <f>+Q252*D252</f>
        <v>0</v>
      </c>
      <c r="U252" s="8">
        <f>+S252*D252</f>
        <v>-54703.43</v>
      </c>
      <c r="V252" s="118">
        <f>IF(Q252&gt;30,200+E252,100+E252)</f>
        <v>169</v>
      </c>
    </row>
    <row r="253" spans="1:22" ht="15" x14ac:dyDescent="0.25">
      <c r="A253" s="182" t="s">
        <v>588</v>
      </c>
      <c r="B253" s="183">
        <v>44859</v>
      </c>
      <c r="C253" s="182" t="s">
        <v>589</v>
      </c>
      <c r="D253" s="184">
        <v>895.4</v>
      </c>
      <c r="E253" s="182" t="s">
        <v>581</v>
      </c>
      <c r="K253" s="2"/>
      <c r="L253" s="183">
        <v>44859</v>
      </c>
      <c r="N253" s="15">
        <f>+O253</f>
        <v>44879</v>
      </c>
      <c r="O253" s="183">
        <v>44879</v>
      </c>
      <c r="P253" s="10">
        <f>+L253-N253</f>
        <v>-20</v>
      </c>
      <c r="Q253" s="10">
        <f>+N253-O253</f>
        <v>0</v>
      </c>
      <c r="R253" s="10">
        <f>+L253-O253</f>
        <v>-20</v>
      </c>
      <c r="S253" s="10">
        <f>+R253-30</f>
        <v>-50</v>
      </c>
      <c r="T253" s="8">
        <f>+Q253*D253</f>
        <v>0</v>
      </c>
      <c r="U253" s="8">
        <f>+S253*D253</f>
        <v>-44770</v>
      </c>
      <c r="V253" s="118">
        <f>IF(Q253&gt;30,200+E253,100+E253)</f>
        <v>169</v>
      </c>
    </row>
    <row r="254" spans="1:22" ht="15" x14ac:dyDescent="0.25">
      <c r="A254" s="182" t="s">
        <v>590</v>
      </c>
      <c r="B254" s="183">
        <v>44859</v>
      </c>
      <c r="C254" s="182" t="s">
        <v>591</v>
      </c>
      <c r="D254" s="184">
        <v>2422.66</v>
      </c>
      <c r="E254" s="182" t="s">
        <v>581</v>
      </c>
      <c r="K254" s="2"/>
      <c r="L254" s="183">
        <v>44859</v>
      </c>
      <c r="N254" s="15">
        <f>+O254</f>
        <v>44879</v>
      </c>
      <c r="O254" s="183">
        <v>44879</v>
      </c>
      <c r="P254" s="10">
        <f>+L254-N254</f>
        <v>-20</v>
      </c>
      <c r="Q254" s="10">
        <f>+N254-O254</f>
        <v>0</v>
      </c>
      <c r="R254" s="10">
        <f>+L254-O254</f>
        <v>-20</v>
      </c>
      <c r="S254" s="10">
        <f>+R254-30</f>
        <v>-50</v>
      </c>
      <c r="T254" s="8">
        <f>+Q254*D254</f>
        <v>0</v>
      </c>
      <c r="U254" s="8">
        <f>+S254*D254</f>
        <v>-121133</v>
      </c>
      <c r="V254" s="118">
        <f>IF(Q254&gt;30,200+E254,100+E254)</f>
        <v>169</v>
      </c>
    </row>
    <row r="255" spans="1:22" ht="15" x14ac:dyDescent="0.25">
      <c r="A255" s="182" t="s">
        <v>592</v>
      </c>
      <c r="B255" s="183">
        <v>44859</v>
      </c>
      <c r="C255" s="182" t="s">
        <v>593</v>
      </c>
      <c r="D255" s="184">
        <v>313.70999999999998</v>
      </c>
      <c r="E255" s="182" t="s">
        <v>581</v>
      </c>
      <c r="K255" s="2"/>
      <c r="L255" s="183">
        <v>44859</v>
      </c>
      <c r="N255" s="15">
        <f>+O255</f>
        <v>44922</v>
      </c>
      <c r="O255" s="183">
        <v>44922</v>
      </c>
      <c r="P255" s="10">
        <f>+L255-N255</f>
        <v>-63</v>
      </c>
      <c r="Q255" s="10">
        <f>+N255-O255</f>
        <v>0</v>
      </c>
      <c r="R255" s="10">
        <f>+L255-O255</f>
        <v>-63</v>
      </c>
      <c r="S255" s="10">
        <f>+R255-30</f>
        <v>-93</v>
      </c>
      <c r="T255" s="8">
        <f>+Q255*D255</f>
        <v>0</v>
      </c>
      <c r="U255" s="8">
        <f>+S255*D255</f>
        <v>-29175.03</v>
      </c>
      <c r="V255" s="118">
        <f>IF(Q255&gt;30,200+E255,100+E255)</f>
        <v>169</v>
      </c>
    </row>
    <row r="256" spans="1:22" ht="15" x14ac:dyDescent="0.25">
      <c r="A256" s="182" t="s">
        <v>594</v>
      </c>
      <c r="B256" s="183">
        <v>44859</v>
      </c>
      <c r="C256" s="182" t="s">
        <v>595</v>
      </c>
      <c r="D256" s="184">
        <v>6352.5</v>
      </c>
      <c r="E256" s="182" t="s">
        <v>581</v>
      </c>
      <c r="K256" s="2"/>
      <c r="L256" s="183">
        <v>44859</v>
      </c>
      <c r="N256" s="15">
        <f>+O256</f>
        <v>44879</v>
      </c>
      <c r="O256" s="183">
        <v>44879</v>
      </c>
      <c r="P256" s="10">
        <f>+L256-N256</f>
        <v>-20</v>
      </c>
      <c r="Q256" s="10">
        <f>+N256-O256</f>
        <v>0</v>
      </c>
      <c r="R256" s="10">
        <f>+L256-O256</f>
        <v>-20</v>
      </c>
      <c r="S256" s="10">
        <f>+R256-30</f>
        <v>-50</v>
      </c>
      <c r="T256" s="8">
        <f>+Q256*D256</f>
        <v>0</v>
      </c>
      <c r="U256" s="8">
        <f>+S256*D256</f>
        <v>-317625</v>
      </c>
      <c r="V256" s="118">
        <f>IF(Q256&gt;30,200+E256,100+E256)</f>
        <v>169</v>
      </c>
    </row>
    <row r="257" spans="1:22" ht="15" x14ac:dyDescent="0.25">
      <c r="A257" s="182" t="s">
        <v>596</v>
      </c>
      <c r="B257" s="183">
        <v>44880</v>
      </c>
      <c r="C257" s="182" t="s">
        <v>597</v>
      </c>
      <c r="D257" s="184">
        <v>65.47</v>
      </c>
      <c r="E257" s="182" t="s">
        <v>581</v>
      </c>
      <c r="K257" s="2"/>
      <c r="L257" s="183">
        <v>44880</v>
      </c>
      <c r="N257" s="15">
        <f>+O257</f>
        <v>44910</v>
      </c>
      <c r="O257" s="183">
        <v>44910</v>
      </c>
      <c r="P257" s="10">
        <f>+L257-N257</f>
        <v>-30</v>
      </c>
      <c r="Q257" s="10">
        <f>+N257-O257</f>
        <v>0</v>
      </c>
      <c r="R257" s="10">
        <f>+L257-O257</f>
        <v>-30</v>
      </c>
      <c r="S257" s="10">
        <f>+R257-30</f>
        <v>-60</v>
      </c>
      <c r="T257" s="8">
        <f>+Q257*D257</f>
        <v>0</v>
      </c>
      <c r="U257" s="8">
        <f>+S257*D257</f>
        <v>-3928.2</v>
      </c>
      <c r="V257" s="118">
        <f>IF(Q257&gt;30,200+E257,100+E257)</f>
        <v>169</v>
      </c>
    </row>
    <row r="258" spans="1:22" ht="15" x14ac:dyDescent="0.25">
      <c r="A258" s="182" t="s">
        <v>598</v>
      </c>
      <c r="B258" s="183">
        <v>44880</v>
      </c>
      <c r="C258" s="182" t="s">
        <v>599</v>
      </c>
      <c r="D258" s="184">
        <v>215.38</v>
      </c>
      <c r="E258" s="182" t="s">
        <v>581</v>
      </c>
      <c r="K258" s="2"/>
      <c r="L258" s="183">
        <v>44880</v>
      </c>
      <c r="N258" s="15">
        <f>+O258</f>
        <v>44894</v>
      </c>
      <c r="O258" s="183">
        <v>44894</v>
      </c>
      <c r="P258" s="10">
        <f>+L258-N258</f>
        <v>-14</v>
      </c>
      <c r="Q258" s="10">
        <f>+N258-O258</f>
        <v>0</v>
      </c>
      <c r="R258" s="10">
        <f>+L258-O258</f>
        <v>-14</v>
      </c>
      <c r="S258" s="10">
        <f>+R258-30</f>
        <v>-44</v>
      </c>
      <c r="T258" s="8">
        <f>+Q258*D258</f>
        <v>0</v>
      </c>
      <c r="U258" s="8">
        <f>+S258*D258</f>
        <v>-9476.7199999999993</v>
      </c>
      <c r="V258" s="118">
        <f>IF(Q258&gt;30,200+E258,100+E258)</f>
        <v>169</v>
      </c>
    </row>
    <row r="259" spans="1:22" ht="15" x14ac:dyDescent="0.25">
      <c r="A259" s="182" t="s">
        <v>600</v>
      </c>
      <c r="B259" s="183">
        <v>44880</v>
      </c>
      <c r="C259" s="182" t="s">
        <v>601</v>
      </c>
      <c r="D259" s="184">
        <v>2894.32</v>
      </c>
      <c r="E259" s="182" t="s">
        <v>581</v>
      </c>
      <c r="K259" s="2"/>
      <c r="L259" s="183">
        <v>44880</v>
      </c>
      <c r="N259" s="15">
        <f>+O259</f>
        <v>44894</v>
      </c>
      <c r="O259" s="183">
        <v>44894</v>
      </c>
      <c r="P259" s="10">
        <f>+L259-N259</f>
        <v>-14</v>
      </c>
      <c r="Q259" s="10">
        <f>+N259-O259</f>
        <v>0</v>
      </c>
      <c r="R259" s="10">
        <f>+L259-O259</f>
        <v>-14</v>
      </c>
      <c r="S259" s="10">
        <f>+R259-30</f>
        <v>-44</v>
      </c>
      <c r="T259" s="8">
        <f>+Q259*D259</f>
        <v>0</v>
      </c>
      <c r="U259" s="8">
        <f>+S259*D259</f>
        <v>-127350.08</v>
      </c>
      <c r="V259" s="118">
        <f>IF(Q259&gt;30,200+E259,100+E259)</f>
        <v>169</v>
      </c>
    </row>
    <row r="260" spans="1:22" ht="15" x14ac:dyDescent="0.25">
      <c r="A260" s="182" t="s">
        <v>602</v>
      </c>
      <c r="B260" s="183">
        <v>44888</v>
      </c>
      <c r="C260" s="182" t="s">
        <v>603</v>
      </c>
      <c r="D260" s="184">
        <v>2995</v>
      </c>
      <c r="E260" s="182" t="s">
        <v>581</v>
      </c>
      <c r="K260" s="2"/>
      <c r="L260" s="183">
        <v>44888</v>
      </c>
      <c r="N260" s="15">
        <f>+O260</f>
        <v>44894</v>
      </c>
      <c r="O260" s="183">
        <v>44894</v>
      </c>
      <c r="P260" s="10">
        <f>+L260-N260</f>
        <v>-6</v>
      </c>
      <c r="Q260" s="10">
        <f>+N260-O260</f>
        <v>0</v>
      </c>
      <c r="R260" s="10">
        <f>+L260-O260</f>
        <v>-6</v>
      </c>
      <c r="S260" s="10">
        <f>+R260-30</f>
        <v>-36</v>
      </c>
      <c r="T260" s="8">
        <f>+Q260*D260</f>
        <v>0</v>
      </c>
      <c r="U260" s="8">
        <f>+S260*D260</f>
        <v>-107820</v>
      </c>
      <c r="V260" s="118">
        <f>IF(Q260&gt;30,200+E260,100+E260)</f>
        <v>169</v>
      </c>
    </row>
    <row r="261" spans="1:22" ht="15" x14ac:dyDescent="0.25">
      <c r="A261" s="182" t="s">
        <v>604</v>
      </c>
      <c r="B261" s="183">
        <v>44888</v>
      </c>
      <c r="C261" s="182" t="s">
        <v>605</v>
      </c>
      <c r="D261" s="184">
        <v>2583.35</v>
      </c>
      <c r="E261" s="182" t="s">
        <v>581</v>
      </c>
      <c r="K261" s="2"/>
      <c r="L261" s="183">
        <v>44888</v>
      </c>
      <c r="N261" s="15">
        <f>+O261</f>
        <v>44894</v>
      </c>
      <c r="O261" s="183">
        <v>44894</v>
      </c>
      <c r="P261" s="10">
        <f>+L261-N261</f>
        <v>-6</v>
      </c>
      <c r="Q261" s="10">
        <f>+N261-O261</f>
        <v>0</v>
      </c>
      <c r="R261" s="10">
        <f>+L261-O261</f>
        <v>-6</v>
      </c>
      <c r="S261" s="10">
        <f>+R261-30</f>
        <v>-36</v>
      </c>
      <c r="T261" s="8">
        <f>+Q261*D261</f>
        <v>0</v>
      </c>
      <c r="U261" s="8">
        <f>+S261*D261</f>
        <v>-93000.599999999991</v>
      </c>
      <c r="V261" s="118">
        <f>IF(Q261&gt;30,200+E261,100+E261)</f>
        <v>169</v>
      </c>
    </row>
    <row r="262" spans="1:22" ht="15" x14ac:dyDescent="0.25">
      <c r="A262" s="182" t="s">
        <v>606</v>
      </c>
      <c r="B262" s="183">
        <v>44889</v>
      </c>
      <c r="C262" s="182" t="s">
        <v>607</v>
      </c>
      <c r="D262" s="184">
        <v>1867.78</v>
      </c>
      <c r="E262" s="182" t="s">
        <v>581</v>
      </c>
      <c r="K262" s="2"/>
      <c r="L262" s="183">
        <v>44889</v>
      </c>
      <c r="N262" s="15">
        <f>+O262</f>
        <v>44894</v>
      </c>
      <c r="O262" s="183">
        <v>44894</v>
      </c>
      <c r="P262" s="10">
        <f>+L262-N262</f>
        <v>-5</v>
      </c>
      <c r="Q262" s="10">
        <f>+N262-O262</f>
        <v>0</v>
      </c>
      <c r="R262" s="10">
        <f>+L262-O262</f>
        <v>-5</v>
      </c>
      <c r="S262" s="10">
        <f>+R262-30</f>
        <v>-35</v>
      </c>
      <c r="T262" s="8">
        <f>+Q262*D262</f>
        <v>0</v>
      </c>
      <c r="U262" s="8">
        <f>+S262*D262</f>
        <v>-65372.299999999996</v>
      </c>
      <c r="V262" s="118">
        <f>IF(Q262&gt;30,200+E262,100+E262)</f>
        <v>169</v>
      </c>
    </row>
    <row r="263" spans="1:22" ht="15" x14ac:dyDescent="0.25">
      <c r="A263" s="182" t="s">
        <v>608</v>
      </c>
      <c r="B263" s="183">
        <v>44879</v>
      </c>
      <c r="C263" s="182" t="s">
        <v>609</v>
      </c>
      <c r="D263" s="184">
        <v>3327.5</v>
      </c>
      <c r="E263" s="182" t="s">
        <v>581</v>
      </c>
      <c r="K263" s="2"/>
      <c r="L263" s="183">
        <v>44879</v>
      </c>
      <c r="N263" s="15">
        <f>+O263</f>
        <v>44894</v>
      </c>
      <c r="O263" s="183">
        <v>44894</v>
      </c>
      <c r="P263" s="10">
        <f>+L263-N263</f>
        <v>-15</v>
      </c>
      <c r="Q263" s="10">
        <f>+N263-O263</f>
        <v>0</v>
      </c>
      <c r="R263" s="10">
        <f>+L263-O263</f>
        <v>-15</v>
      </c>
      <c r="S263" s="10">
        <f>+R263-30</f>
        <v>-45</v>
      </c>
      <c r="T263" s="8">
        <f>+Q263*D263</f>
        <v>0</v>
      </c>
      <c r="U263" s="8">
        <f>+S263*D263</f>
        <v>-149737.5</v>
      </c>
      <c r="V263" s="118">
        <f>IF(Q263&gt;30,200+E263,100+E263)</f>
        <v>169</v>
      </c>
    </row>
    <row r="264" spans="1:22" ht="15" x14ac:dyDescent="0.25">
      <c r="A264" s="182" t="s">
        <v>610</v>
      </c>
      <c r="B264" s="183">
        <v>44890</v>
      </c>
      <c r="C264" s="182" t="s">
        <v>611</v>
      </c>
      <c r="D264" s="184">
        <v>4598</v>
      </c>
      <c r="E264" s="182" t="s">
        <v>581</v>
      </c>
      <c r="K264" s="2"/>
      <c r="L264" s="183">
        <v>44890</v>
      </c>
      <c r="N264" s="15">
        <f>+O264</f>
        <v>44894</v>
      </c>
      <c r="O264" s="183">
        <v>44894</v>
      </c>
      <c r="P264" s="10">
        <f>+L264-N264</f>
        <v>-4</v>
      </c>
      <c r="Q264" s="10">
        <f>+N264-O264</f>
        <v>0</v>
      </c>
      <c r="R264" s="10">
        <f>+L264-O264</f>
        <v>-4</v>
      </c>
      <c r="S264" s="10">
        <f>+R264-30</f>
        <v>-34</v>
      </c>
      <c r="T264" s="8">
        <f>+Q264*D264</f>
        <v>0</v>
      </c>
      <c r="U264" s="8">
        <f>+S264*D264</f>
        <v>-156332</v>
      </c>
      <c r="V264" s="118">
        <f>IF(Q264&gt;30,200+E264,100+E264)</f>
        <v>169</v>
      </c>
    </row>
    <row r="265" spans="1:22" ht="15" x14ac:dyDescent="0.25">
      <c r="A265" s="182" t="s">
        <v>612</v>
      </c>
      <c r="B265" s="183">
        <v>44895</v>
      </c>
      <c r="C265" s="182" t="s">
        <v>613</v>
      </c>
      <c r="D265" s="184">
        <v>565.07000000000005</v>
      </c>
      <c r="E265" s="182" t="s">
        <v>581</v>
      </c>
      <c r="K265" s="2"/>
      <c r="L265" s="183">
        <v>44895</v>
      </c>
      <c r="N265" s="15">
        <f>+O265</f>
        <v>44925</v>
      </c>
      <c r="O265" s="183">
        <v>44925</v>
      </c>
      <c r="P265" s="10">
        <f>+L265-N265</f>
        <v>-30</v>
      </c>
      <c r="Q265" s="10">
        <f>+N265-O265</f>
        <v>0</v>
      </c>
      <c r="R265" s="10">
        <f>+L265-O265</f>
        <v>-30</v>
      </c>
      <c r="S265" s="10">
        <f>+R265-30</f>
        <v>-60</v>
      </c>
      <c r="T265" s="8">
        <f>+Q265*D265</f>
        <v>0</v>
      </c>
      <c r="U265" s="8">
        <f>+S265*D265</f>
        <v>-33904.200000000004</v>
      </c>
      <c r="V265" s="118">
        <f>IF(Q265&gt;30,200+E265,100+E265)</f>
        <v>169</v>
      </c>
    </row>
    <row r="266" spans="1:22" ht="15" x14ac:dyDescent="0.25">
      <c r="A266" s="182" t="s">
        <v>614</v>
      </c>
      <c r="B266" s="183">
        <v>44895</v>
      </c>
      <c r="C266" s="182" t="s">
        <v>615</v>
      </c>
      <c r="D266" s="184">
        <v>4997.3</v>
      </c>
      <c r="E266" s="182" t="s">
        <v>581</v>
      </c>
      <c r="K266" s="2"/>
      <c r="L266" s="183">
        <v>44895</v>
      </c>
      <c r="N266" s="15">
        <f>+O266</f>
        <v>44909</v>
      </c>
      <c r="O266" s="183">
        <v>44909</v>
      </c>
      <c r="P266" s="10">
        <f>+L266-N266</f>
        <v>-14</v>
      </c>
      <c r="Q266" s="10">
        <f>+N266-O266</f>
        <v>0</v>
      </c>
      <c r="R266" s="10">
        <f>+L266-O266</f>
        <v>-14</v>
      </c>
      <c r="S266" s="10">
        <f>+R266-30</f>
        <v>-44</v>
      </c>
      <c r="T266" s="8">
        <f>+Q266*D266</f>
        <v>0</v>
      </c>
      <c r="U266" s="8">
        <f>+S266*D266</f>
        <v>-219881.2</v>
      </c>
      <c r="V266" s="118">
        <f>IF(Q266&gt;30,200+E266,100+E266)</f>
        <v>169</v>
      </c>
    </row>
    <row r="267" spans="1:22" ht="15" x14ac:dyDescent="0.25">
      <c r="A267" s="182" t="s">
        <v>616</v>
      </c>
      <c r="B267" s="183">
        <v>44896</v>
      </c>
      <c r="C267" s="182" t="s">
        <v>617</v>
      </c>
      <c r="D267" s="184">
        <v>12499.91</v>
      </c>
      <c r="E267" s="182" t="s">
        <v>581</v>
      </c>
      <c r="K267" s="2"/>
      <c r="L267" s="183">
        <v>44896</v>
      </c>
      <c r="N267" s="15">
        <f>+O267</f>
        <v>44909</v>
      </c>
      <c r="O267" s="183">
        <v>44909</v>
      </c>
      <c r="P267" s="10">
        <f>+L267-N267</f>
        <v>-13</v>
      </c>
      <c r="Q267" s="10">
        <f>+N267-O267</f>
        <v>0</v>
      </c>
      <c r="R267" s="10">
        <f>+L267-O267</f>
        <v>-13</v>
      </c>
      <c r="S267" s="10">
        <f>+R267-30</f>
        <v>-43</v>
      </c>
      <c r="T267" s="8">
        <f>+Q267*D267</f>
        <v>0</v>
      </c>
      <c r="U267" s="8">
        <f>+S267*D267</f>
        <v>-537496.13</v>
      </c>
      <c r="V267" s="118">
        <f>IF(Q267&gt;30,200+E267,100+E267)</f>
        <v>169</v>
      </c>
    </row>
    <row r="268" spans="1:22" ht="15" x14ac:dyDescent="0.25">
      <c r="A268" s="182" t="s">
        <v>618</v>
      </c>
      <c r="B268" s="183">
        <v>44909</v>
      </c>
      <c r="C268" s="182" t="s">
        <v>619</v>
      </c>
      <c r="D268" s="184">
        <v>1425.14</v>
      </c>
      <c r="E268" s="182" t="s">
        <v>581</v>
      </c>
      <c r="K268" s="2"/>
      <c r="L268" s="183">
        <v>44909</v>
      </c>
      <c r="N268" s="15">
        <f>+O268</f>
        <v>44915</v>
      </c>
      <c r="O268" s="183">
        <v>44915</v>
      </c>
      <c r="P268" s="10">
        <f>+L268-N268</f>
        <v>-6</v>
      </c>
      <c r="Q268" s="10">
        <f>+N268-O268</f>
        <v>0</v>
      </c>
      <c r="R268" s="10">
        <f>+L268-O268</f>
        <v>-6</v>
      </c>
      <c r="S268" s="10">
        <f>+R268-30</f>
        <v>-36</v>
      </c>
      <c r="T268" s="8">
        <f>+Q268*D268</f>
        <v>0</v>
      </c>
      <c r="U268" s="8">
        <f>+S268*D268</f>
        <v>-51305.04</v>
      </c>
      <c r="V268" s="118">
        <f>IF(Q268&gt;30,200+E268,100+E268)</f>
        <v>169</v>
      </c>
    </row>
    <row r="269" spans="1:22" ht="15" x14ac:dyDescent="0.25">
      <c r="A269" s="182" t="s">
        <v>620</v>
      </c>
      <c r="B269" s="183">
        <v>44910</v>
      </c>
      <c r="C269" s="182" t="s">
        <v>621</v>
      </c>
      <c r="D269" s="184">
        <v>1070.8499999999999</v>
      </c>
      <c r="E269" s="182" t="s">
        <v>581</v>
      </c>
      <c r="K269" s="2"/>
      <c r="L269" s="183">
        <v>44910</v>
      </c>
      <c r="N269" s="15">
        <f>+O269</f>
        <v>44915</v>
      </c>
      <c r="O269" s="183">
        <v>44915</v>
      </c>
      <c r="P269" s="10">
        <f>+L269-N269</f>
        <v>-5</v>
      </c>
      <c r="Q269" s="10">
        <f>+N269-O269</f>
        <v>0</v>
      </c>
      <c r="R269" s="10">
        <f>+L269-O269</f>
        <v>-5</v>
      </c>
      <c r="S269" s="10">
        <f>+R269-30</f>
        <v>-35</v>
      </c>
      <c r="T269" s="8">
        <f>+Q269*D269</f>
        <v>0</v>
      </c>
      <c r="U269" s="8">
        <f>+S269*D269</f>
        <v>-37479.75</v>
      </c>
      <c r="V269" s="118">
        <f>IF(Q269&gt;30,200+E269,100+E269)</f>
        <v>169</v>
      </c>
    </row>
    <row r="270" spans="1:22" ht="15" x14ac:dyDescent="0.25">
      <c r="A270" s="182" t="s">
        <v>622</v>
      </c>
      <c r="B270" s="183">
        <v>44910</v>
      </c>
      <c r="C270" s="182" t="s">
        <v>623</v>
      </c>
      <c r="D270" s="184">
        <v>578.38</v>
      </c>
      <c r="E270" s="182" t="s">
        <v>581</v>
      </c>
      <c r="K270" s="2"/>
      <c r="L270" s="183">
        <v>44910</v>
      </c>
      <c r="N270" s="15">
        <f>+O270</f>
        <v>44915</v>
      </c>
      <c r="O270" s="183">
        <v>44915</v>
      </c>
      <c r="P270" s="10">
        <f>+L270-N270</f>
        <v>-5</v>
      </c>
      <c r="Q270" s="10">
        <f>+N270-O270</f>
        <v>0</v>
      </c>
      <c r="R270" s="10">
        <f>+L270-O270</f>
        <v>-5</v>
      </c>
      <c r="S270" s="10">
        <f>+R270-30</f>
        <v>-35</v>
      </c>
      <c r="T270" s="8">
        <f>+Q270*D270</f>
        <v>0</v>
      </c>
      <c r="U270" s="8">
        <f>+S270*D270</f>
        <v>-20243.3</v>
      </c>
      <c r="V270" s="118">
        <f>IF(Q270&gt;30,200+E270,100+E270)</f>
        <v>169</v>
      </c>
    </row>
    <row r="271" spans="1:22" ht="15" x14ac:dyDescent="0.25">
      <c r="A271" s="182" t="s">
        <v>624</v>
      </c>
      <c r="B271" s="183">
        <v>44910</v>
      </c>
      <c r="C271" s="182" t="s">
        <v>625</v>
      </c>
      <c r="D271" s="184">
        <v>1948.1</v>
      </c>
      <c r="E271" s="182" t="s">
        <v>581</v>
      </c>
      <c r="K271" s="2"/>
      <c r="L271" s="183">
        <v>44910</v>
      </c>
      <c r="N271" s="15">
        <f>+O271</f>
        <v>44915</v>
      </c>
      <c r="O271" s="183">
        <v>44915</v>
      </c>
      <c r="P271" s="10">
        <f>+L271-N271</f>
        <v>-5</v>
      </c>
      <c r="Q271" s="10">
        <f>+N271-O271</f>
        <v>0</v>
      </c>
      <c r="R271" s="10">
        <f>+L271-O271</f>
        <v>-5</v>
      </c>
      <c r="S271" s="10">
        <f>+R271-30</f>
        <v>-35</v>
      </c>
      <c r="T271" s="8">
        <f>+Q271*D271</f>
        <v>0</v>
      </c>
      <c r="U271" s="8">
        <f>+S271*D271</f>
        <v>-68183.5</v>
      </c>
      <c r="V271" s="118">
        <f>IF(Q271&gt;30,200+E271,100+E271)</f>
        <v>169</v>
      </c>
    </row>
    <row r="272" spans="1:22" ht="15" x14ac:dyDescent="0.25">
      <c r="A272" s="182" t="s">
        <v>626</v>
      </c>
      <c r="B272" s="183">
        <v>44909</v>
      </c>
      <c r="C272" s="182" t="s">
        <v>627</v>
      </c>
      <c r="D272" s="184">
        <v>1694</v>
      </c>
      <c r="E272" s="182" t="s">
        <v>581</v>
      </c>
      <c r="K272" s="2"/>
      <c r="L272" s="183">
        <v>44909</v>
      </c>
      <c r="N272" s="15">
        <f>+O272</f>
        <v>44915</v>
      </c>
      <c r="O272" s="183">
        <v>44915</v>
      </c>
      <c r="P272" s="10">
        <f>+L272-N272</f>
        <v>-6</v>
      </c>
      <c r="Q272" s="10">
        <f>+N272-O272</f>
        <v>0</v>
      </c>
      <c r="R272" s="10">
        <f>+L272-O272</f>
        <v>-6</v>
      </c>
      <c r="S272" s="10">
        <f>+R272-30</f>
        <v>-36</v>
      </c>
      <c r="T272" s="8">
        <f>+Q272*D272</f>
        <v>0</v>
      </c>
      <c r="U272" s="8">
        <f>+S272*D272</f>
        <v>-60984</v>
      </c>
      <c r="V272" s="118">
        <f>IF(Q272&gt;30,200+E272,100+E272)</f>
        <v>169</v>
      </c>
    </row>
    <row r="273" spans="1:22" ht="15" x14ac:dyDescent="0.25">
      <c r="A273" s="182" t="s">
        <v>628</v>
      </c>
      <c r="B273" s="183">
        <v>44918</v>
      </c>
      <c r="C273" s="182" t="s">
        <v>629</v>
      </c>
      <c r="D273" s="184">
        <v>529.47</v>
      </c>
      <c r="E273" s="182" t="s">
        <v>581</v>
      </c>
      <c r="K273" s="2"/>
      <c r="L273" s="183">
        <v>44918</v>
      </c>
      <c r="N273" s="15">
        <f>+O273</f>
        <v>44923</v>
      </c>
      <c r="O273" s="183">
        <v>44923</v>
      </c>
      <c r="P273" s="10">
        <f>+L273-N273</f>
        <v>-5</v>
      </c>
      <c r="Q273" s="10">
        <f>+N273-O273</f>
        <v>0</v>
      </c>
      <c r="R273" s="10">
        <f>+L273-O273</f>
        <v>-5</v>
      </c>
      <c r="S273" s="10">
        <f>+R273-30</f>
        <v>-35</v>
      </c>
      <c r="T273" s="8">
        <f>+Q273*D273</f>
        <v>0</v>
      </c>
      <c r="U273" s="8">
        <f>+S273*D273</f>
        <v>-18531.45</v>
      </c>
      <c r="V273" s="118">
        <f>IF(Q273&gt;30,200+E273,100+E273)</f>
        <v>169</v>
      </c>
    </row>
    <row r="274" spans="1:22" ht="15" x14ac:dyDescent="0.25">
      <c r="A274" s="182" t="s">
        <v>630</v>
      </c>
      <c r="B274" s="183">
        <v>44921</v>
      </c>
      <c r="C274" s="182" t="s">
        <v>631</v>
      </c>
      <c r="D274" s="184">
        <v>2864.07</v>
      </c>
      <c r="E274" s="182" t="s">
        <v>581</v>
      </c>
      <c r="K274" s="2"/>
      <c r="L274" s="183">
        <v>44921</v>
      </c>
      <c r="N274" s="15">
        <f>+O274</f>
        <v>44923</v>
      </c>
      <c r="O274" s="183">
        <v>44923</v>
      </c>
      <c r="P274" s="10">
        <f>+L274-N274</f>
        <v>-2</v>
      </c>
      <c r="Q274" s="10">
        <f>+N274-O274</f>
        <v>0</v>
      </c>
      <c r="R274" s="10">
        <f>+L274-O274</f>
        <v>-2</v>
      </c>
      <c r="S274" s="10">
        <f>+R274-30</f>
        <v>-32</v>
      </c>
      <c r="T274" s="8">
        <f>+Q274*D274</f>
        <v>0</v>
      </c>
      <c r="U274" s="8">
        <f>+S274*D274</f>
        <v>-91650.240000000005</v>
      </c>
      <c r="V274" s="118">
        <f>IF(Q274&gt;30,200+E274,100+E274)</f>
        <v>169</v>
      </c>
    </row>
    <row r="275" spans="1:22" ht="15" x14ac:dyDescent="0.25">
      <c r="A275" s="182" t="s">
        <v>632</v>
      </c>
      <c r="B275" s="183">
        <v>44917</v>
      </c>
      <c r="C275" s="182" t="s">
        <v>633</v>
      </c>
      <c r="D275" s="184">
        <v>5989.5</v>
      </c>
      <c r="E275" s="182" t="s">
        <v>581</v>
      </c>
      <c r="K275" s="2"/>
      <c r="L275" s="183">
        <v>44917</v>
      </c>
      <c r="N275" s="15">
        <f>+O275</f>
        <v>44923</v>
      </c>
      <c r="O275" s="183">
        <v>44923</v>
      </c>
      <c r="P275" s="10">
        <f>+L275-N275</f>
        <v>-6</v>
      </c>
      <c r="Q275" s="10">
        <f>+N275-O275</f>
        <v>0</v>
      </c>
      <c r="R275" s="10">
        <f>+L275-O275</f>
        <v>-6</v>
      </c>
      <c r="S275" s="10">
        <f>+R275-30</f>
        <v>-36</v>
      </c>
      <c r="T275" s="8">
        <f>+Q275*D275</f>
        <v>0</v>
      </c>
      <c r="U275" s="8">
        <f>+S275*D275</f>
        <v>-215622</v>
      </c>
      <c r="V275" s="118">
        <f>IF(Q275&gt;30,200+E275,100+E275)</f>
        <v>169</v>
      </c>
    </row>
    <row r="276" spans="1:22" ht="15" x14ac:dyDescent="0.25">
      <c r="A276" s="182" t="s">
        <v>634</v>
      </c>
      <c r="B276" s="183">
        <v>44911</v>
      </c>
      <c r="C276" s="182" t="s">
        <v>635</v>
      </c>
      <c r="D276" s="184">
        <v>107.69</v>
      </c>
      <c r="E276" s="182" t="s">
        <v>581</v>
      </c>
      <c r="K276" s="2"/>
      <c r="L276" s="183">
        <v>44911</v>
      </c>
      <c r="N276" s="15">
        <f>+O276</f>
        <v>44916</v>
      </c>
      <c r="O276" s="183">
        <v>44916</v>
      </c>
      <c r="P276" s="10">
        <f>+L276-N276</f>
        <v>-5</v>
      </c>
      <c r="Q276" s="10">
        <f>+N276-O276</f>
        <v>0</v>
      </c>
      <c r="R276" s="10">
        <f>+L276-O276</f>
        <v>-5</v>
      </c>
      <c r="S276" s="10">
        <f>+R276-30</f>
        <v>-35</v>
      </c>
      <c r="T276" s="8">
        <f>+Q276*D276</f>
        <v>0</v>
      </c>
      <c r="U276" s="8">
        <f>+S276*D276</f>
        <v>-3769.15</v>
      </c>
      <c r="V276" s="118">
        <f>IF(Q276&gt;30,200+E276,100+E276)</f>
        <v>169</v>
      </c>
    </row>
    <row r="277" spans="1:22" ht="15" x14ac:dyDescent="0.25">
      <c r="A277" s="182" t="s">
        <v>636</v>
      </c>
      <c r="B277" s="183">
        <v>44848</v>
      </c>
      <c r="C277" s="182" t="s">
        <v>637</v>
      </c>
      <c r="D277" s="184">
        <v>1557.15</v>
      </c>
      <c r="E277" s="182" t="s">
        <v>581</v>
      </c>
      <c r="K277" s="2"/>
      <c r="L277" s="183">
        <v>44848</v>
      </c>
      <c r="N277" s="15">
        <f>+O277</f>
        <v>44866</v>
      </c>
      <c r="O277" s="183">
        <v>44866</v>
      </c>
      <c r="P277" s="10">
        <f>+L277-N277</f>
        <v>-18</v>
      </c>
      <c r="Q277" s="10">
        <f>+N277-O277</f>
        <v>0</v>
      </c>
      <c r="R277" s="10">
        <f>+L277-O277</f>
        <v>-18</v>
      </c>
      <c r="S277" s="10">
        <f>+R277-30</f>
        <v>-48</v>
      </c>
      <c r="T277" s="8">
        <f>+Q277*D277</f>
        <v>0</v>
      </c>
      <c r="U277" s="8">
        <f>+S277*D277</f>
        <v>-74743.200000000012</v>
      </c>
      <c r="V277" s="118">
        <f>IF(Q277&gt;30,200+E277,100+E277)</f>
        <v>169</v>
      </c>
    </row>
    <row r="278" spans="1:22" ht="15" x14ac:dyDescent="0.25">
      <c r="A278" s="182" t="s">
        <v>638</v>
      </c>
      <c r="B278" s="183">
        <v>44882</v>
      </c>
      <c r="C278" s="182" t="s">
        <v>639</v>
      </c>
      <c r="D278" s="184">
        <v>212.95</v>
      </c>
      <c r="E278" s="182" t="s">
        <v>581</v>
      </c>
      <c r="K278" s="2"/>
      <c r="L278" s="183">
        <v>44882</v>
      </c>
      <c r="N278" s="15">
        <f>+O278</f>
        <v>44896</v>
      </c>
      <c r="O278" s="183">
        <v>44896</v>
      </c>
      <c r="P278" s="10">
        <f>+L278-N278</f>
        <v>-14</v>
      </c>
      <c r="Q278" s="10">
        <f>+N278-O278</f>
        <v>0</v>
      </c>
      <c r="R278" s="10">
        <f>+L278-O278</f>
        <v>-14</v>
      </c>
      <c r="S278" s="10">
        <f>+R278-30</f>
        <v>-44</v>
      </c>
      <c r="T278" s="8">
        <f>+Q278*D278</f>
        <v>0</v>
      </c>
      <c r="U278" s="8">
        <f>+S278*D278</f>
        <v>-9369.7999999999993</v>
      </c>
      <c r="V278" s="118">
        <f>IF(Q278&gt;30,200+E278,100+E278)</f>
        <v>169</v>
      </c>
    </row>
    <row r="279" spans="1:22" ht="15" x14ac:dyDescent="0.25">
      <c r="A279" s="182" t="s">
        <v>640</v>
      </c>
      <c r="B279" s="183">
        <v>44894</v>
      </c>
      <c r="C279" s="182" t="s">
        <v>641</v>
      </c>
      <c r="D279" s="184">
        <v>325.95</v>
      </c>
      <c r="E279" s="182" t="s">
        <v>581</v>
      </c>
      <c r="K279" s="2"/>
      <c r="L279" s="183">
        <v>44894</v>
      </c>
      <c r="N279" s="15">
        <f>+O279</f>
        <v>44896</v>
      </c>
      <c r="O279" s="183">
        <v>44896</v>
      </c>
      <c r="P279" s="10">
        <f>+L279-N279</f>
        <v>-2</v>
      </c>
      <c r="Q279" s="10">
        <f>+N279-O279</f>
        <v>0</v>
      </c>
      <c r="R279" s="10">
        <f>+L279-O279</f>
        <v>-2</v>
      </c>
      <c r="S279" s="10">
        <f>+R279-30</f>
        <v>-32</v>
      </c>
      <c r="T279" s="8">
        <f>+Q279*D279</f>
        <v>0</v>
      </c>
      <c r="U279" s="8">
        <f>+S279*D279</f>
        <v>-10430.4</v>
      </c>
      <c r="V279" s="118">
        <f>IF(Q279&gt;30,200+E279,100+E279)</f>
        <v>169</v>
      </c>
    </row>
    <row r="280" spans="1:22" ht="15" x14ac:dyDescent="0.25">
      <c r="A280" s="182" t="s">
        <v>642</v>
      </c>
      <c r="B280" s="183">
        <v>44883</v>
      </c>
      <c r="C280" s="182" t="s">
        <v>643</v>
      </c>
      <c r="D280" s="184">
        <v>577.44000000000005</v>
      </c>
      <c r="E280" s="182" t="s">
        <v>581</v>
      </c>
      <c r="K280" s="2"/>
      <c r="L280" s="183">
        <v>44883</v>
      </c>
      <c r="N280" s="15">
        <f>+O280</f>
        <v>44896</v>
      </c>
      <c r="O280" s="183">
        <v>44896</v>
      </c>
      <c r="P280" s="10">
        <f>+L280-N280</f>
        <v>-13</v>
      </c>
      <c r="Q280" s="10">
        <f>+N280-O280</f>
        <v>0</v>
      </c>
      <c r="R280" s="10">
        <f>+L280-O280</f>
        <v>-13</v>
      </c>
      <c r="S280" s="10">
        <f>+R280-30</f>
        <v>-43</v>
      </c>
      <c r="T280" s="8">
        <f>+Q280*D280</f>
        <v>0</v>
      </c>
      <c r="U280" s="8">
        <f>+S280*D280</f>
        <v>-24829.920000000002</v>
      </c>
      <c r="V280" s="118">
        <f>IF(Q280&gt;30,200+E280,100+E280)</f>
        <v>169</v>
      </c>
    </row>
    <row r="281" spans="1:22" ht="15" x14ac:dyDescent="0.25">
      <c r="A281" s="182" t="s">
        <v>644</v>
      </c>
      <c r="B281" s="183">
        <v>44914</v>
      </c>
      <c r="C281" s="182" t="s">
        <v>645</v>
      </c>
      <c r="D281" s="184">
        <v>1327.68</v>
      </c>
      <c r="E281" s="182" t="s">
        <v>581</v>
      </c>
      <c r="K281" s="2"/>
      <c r="L281" s="183">
        <v>44914</v>
      </c>
      <c r="N281" s="15">
        <f t="shared" ref="N281:N285" si="0">+O281</f>
        <v>44927</v>
      </c>
      <c r="O281" s="183">
        <v>44927</v>
      </c>
      <c r="P281" s="10">
        <f>+L281-N281</f>
        <v>-13</v>
      </c>
      <c r="Q281" s="10">
        <f>+N281-O281</f>
        <v>0</v>
      </c>
      <c r="R281" s="10">
        <f>+L281-O281</f>
        <v>-13</v>
      </c>
      <c r="S281" s="10">
        <f>+R281-30</f>
        <v>-43</v>
      </c>
      <c r="T281" s="8">
        <f>+Q281*D281</f>
        <v>0</v>
      </c>
      <c r="U281" s="8">
        <f>+S281*D281</f>
        <v>-57090.240000000005</v>
      </c>
      <c r="V281" s="118">
        <f>IF(Q281&gt;30,200+E281,100+E281)</f>
        <v>169</v>
      </c>
    </row>
    <row r="282" spans="1:22" ht="15" x14ac:dyDescent="0.25">
      <c r="A282" s="182" t="s">
        <v>646</v>
      </c>
      <c r="B282" s="183">
        <v>44895</v>
      </c>
      <c r="C282" s="182" t="s">
        <v>647</v>
      </c>
      <c r="D282" s="184">
        <v>612.47</v>
      </c>
      <c r="E282" s="182" t="s">
        <v>581</v>
      </c>
      <c r="K282" s="2"/>
      <c r="L282" s="183">
        <v>44895</v>
      </c>
      <c r="N282" s="15">
        <f t="shared" si="0"/>
        <v>44896</v>
      </c>
      <c r="O282" s="183">
        <v>44896</v>
      </c>
      <c r="P282" s="10">
        <f>+L282-N282</f>
        <v>-1</v>
      </c>
      <c r="Q282" s="10">
        <f>+N282-O282</f>
        <v>0</v>
      </c>
      <c r="R282" s="10">
        <f>+L282-O282</f>
        <v>-1</v>
      </c>
      <c r="S282" s="10">
        <f>+R282-30</f>
        <v>-31</v>
      </c>
      <c r="T282" s="8">
        <f>+Q282*D282</f>
        <v>0</v>
      </c>
      <c r="U282" s="8">
        <f>+S282*D282</f>
        <v>-18986.57</v>
      </c>
      <c r="V282" s="118">
        <f>IF(Q282&gt;30,200+E282,100+E282)</f>
        <v>169</v>
      </c>
    </row>
    <row r="283" spans="1:22" ht="15" x14ac:dyDescent="0.25">
      <c r="A283" s="182" t="s">
        <v>648</v>
      </c>
      <c r="B283" s="183">
        <v>44876</v>
      </c>
      <c r="C283" s="182" t="s">
        <v>649</v>
      </c>
      <c r="D283" s="184">
        <v>1042</v>
      </c>
      <c r="E283" s="182" t="s">
        <v>581</v>
      </c>
      <c r="K283" s="2"/>
      <c r="L283" s="183">
        <v>44876</v>
      </c>
      <c r="N283" s="15">
        <f t="shared" si="0"/>
        <v>44896</v>
      </c>
      <c r="O283" s="183">
        <v>44896</v>
      </c>
      <c r="P283" s="10">
        <f>+L283-N283</f>
        <v>-20</v>
      </c>
      <c r="Q283" s="10">
        <f>+N283-O283</f>
        <v>0</v>
      </c>
      <c r="R283" s="10">
        <f>+L283-O283</f>
        <v>-20</v>
      </c>
      <c r="S283" s="10">
        <f>+R283-30</f>
        <v>-50</v>
      </c>
      <c r="T283" s="8">
        <f>+Q283*D283</f>
        <v>0</v>
      </c>
      <c r="U283" s="8">
        <f>+S283*D283</f>
        <v>-52100</v>
      </c>
      <c r="V283" s="118">
        <f>IF(Q283&gt;30,200+E283,100+E283)</f>
        <v>169</v>
      </c>
    </row>
    <row r="284" spans="1:22" ht="15" x14ac:dyDescent="0.25">
      <c r="A284" s="182" t="s">
        <v>650</v>
      </c>
      <c r="B284" s="183">
        <v>44873</v>
      </c>
      <c r="C284" s="182" t="s">
        <v>651</v>
      </c>
      <c r="D284" s="184">
        <v>607.95000000000005</v>
      </c>
      <c r="E284" s="182" t="s">
        <v>581</v>
      </c>
      <c r="K284" s="2"/>
      <c r="L284" s="183">
        <v>44873</v>
      </c>
      <c r="N284" s="15">
        <f t="shared" si="0"/>
        <v>44896</v>
      </c>
      <c r="O284" s="183">
        <v>44896</v>
      </c>
      <c r="P284" s="10">
        <f>+L284-N284</f>
        <v>-23</v>
      </c>
      <c r="Q284" s="10">
        <f>+N284-O284</f>
        <v>0</v>
      </c>
      <c r="R284" s="10">
        <f>+L284-O284</f>
        <v>-23</v>
      </c>
      <c r="S284" s="10">
        <f>+R284-30</f>
        <v>-53</v>
      </c>
      <c r="T284" s="8">
        <f>+Q284*D284</f>
        <v>0</v>
      </c>
      <c r="U284" s="8">
        <f>+S284*D284</f>
        <v>-32221.350000000002</v>
      </c>
      <c r="V284" s="118">
        <f>IF(Q284&gt;30,200+E284,100+E284)</f>
        <v>169</v>
      </c>
    </row>
    <row r="285" spans="1:22" ht="15" x14ac:dyDescent="0.25">
      <c r="A285" s="182" t="s">
        <v>652</v>
      </c>
      <c r="B285" s="183">
        <v>44873</v>
      </c>
      <c r="C285" s="182" t="s">
        <v>653</v>
      </c>
      <c r="D285" s="186">
        <v>246.2</v>
      </c>
      <c r="E285" s="182" t="s">
        <v>581</v>
      </c>
      <c r="K285" s="2"/>
      <c r="L285" s="183">
        <v>44873</v>
      </c>
      <c r="N285" s="15">
        <f t="shared" si="0"/>
        <v>44896</v>
      </c>
      <c r="O285" s="183">
        <v>44896</v>
      </c>
      <c r="P285" s="10">
        <f>+L285-N285</f>
        <v>-23</v>
      </c>
      <c r="Q285" s="10">
        <f>+N285-O285</f>
        <v>0</v>
      </c>
      <c r="R285" s="10">
        <f>+L285-O285</f>
        <v>-23</v>
      </c>
      <c r="S285" s="10">
        <f>+R285-30</f>
        <v>-53</v>
      </c>
      <c r="T285" s="8">
        <f>+Q285*D285</f>
        <v>0</v>
      </c>
      <c r="U285" s="8">
        <f>+S285*D285</f>
        <v>-13048.599999999999</v>
      </c>
      <c r="V285" s="118">
        <f>IF(Q285&gt;30,200+E285,100+E285)</f>
        <v>169</v>
      </c>
    </row>
    <row r="286" spans="1:22" x14ac:dyDescent="0.2">
      <c r="D286" s="8">
        <f>SUM(D7:D285)</f>
        <v>266941.80000000005</v>
      </c>
      <c r="K286" s="2"/>
      <c r="O286" s="15"/>
      <c r="S286" s="10"/>
    </row>
    <row r="287" spans="1:22" x14ac:dyDescent="0.2">
      <c r="K287" s="2"/>
      <c r="O287" s="15"/>
      <c r="S287" s="10"/>
    </row>
    <row r="288" spans="1:22" x14ac:dyDescent="0.2">
      <c r="K288" s="2"/>
      <c r="O288" s="15"/>
      <c r="S288" s="10"/>
    </row>
    <row r="289" spans="3:19" x14ac:dyDescent="0.2">
      <c r="C289" s="2">
        <v>22</v>
      </c>
      <c r="D289" s="8">
        <f>SUM(D7:D28)</f>
        <v>16299.88</v>
      </c>
      <c r="E289" s="2">
        <v>20</v>
      </c>
      <c r="K289" s="2"/>
      <c r="O289" s="15"/>
      <c r="S289" s="10"/>
    </row>
    <row r="290" spans="3:19" x14ac:dyDescent="0.2">
      <c r="C290" s="2">
        <v>35</v>
      </c>
      <c r="D290" s="8">
        <f>SUM(D29:D63)</f>
        <v>17532.400000000005</v>
      </c>
      <c r="E290" s="2">
        <v>21</v>
      </c>
      <c r="K290" s="2"/>
      <c r="O290" s="15"/>
      <c r="S290" s="10"/>
    </row>
    <row r="291" spans="3:19" x14ac:dyDescent="0.2">
      <c r="C291" s="2">
        <v>44</v>
      </c>
      <c r="D291" s="8">
        <f>SUM(D64:D107)</f>
        <v>10653.819999999998</v>
      </c>
      <c r="E291" s="2">
        <v>22</v>
      </c>
      <c r="K291" s="2"/>
      <c r="O291" s="15"/>
      <c r="S291" s="10"/>
    </row>
    <row r="292" spans="3:19" x14ac:dyDescent="0.2">
      <c r="C292" s="2">
        <v>141</v>
      </c>
      <c r="D292" s="8">
        <f>SUM(D108:D248)</f>
        <v>138506.46000000005</v>
      </c>
      <c r="E292" s="2">
        <v>29</v>
      </c>
      <c r="K292" s="2"/>
      <c r="O292" s="15"/>
      <c r="S292" s="10"/>
    </row>
    <row r="293" spans="3:19" x14ac:dyDescent="0.2">
      <c r="C293" s="187">
        <v>37</v>
      </c>
      <c r="D293" s="188">
        <f>SUM(D249:D285)</f>
        <v>83949.239999999991</v>
      </c>
      <c r="E293" s="2">
        <v>69</v>
      </c>
      <c r="K293" s="2"/>
      <c r="O293" s="15"/>
      <c r="S293" s="10"/>
    </row>
    <row r="294" spans="3:19" x14ac:dyDescent="0.2">
      <c r="C294" s="2">
        <f>SUM(C289:C293)</f>
        <v>279</v>
      </c>
      <c r="D294" s="8">
        <f>SUM(D289:D293)</f>
        <v>266941.80000000005</v>
      </c>
      <c r="K294" s="2"/>
      <c r="O294" s="15"/>
      <c r="S294" s="10"/>
    </row>
    <row r="295" spans="3:19" x14ac:dyDescent="0.2">
      <c r="K295" s="2"/>
      <c r="O295" s="15"/>
      <c r="S295" s="10"/>
    </row>
  </sheetData>
  <sheetProtection selectLockedCells="1" selectUnlockedCells="1"/>
  <mergeCells count="1">
    <mergeCell ref="M2:N2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6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Orria3">
    <tabColor indexed="41"/>
  </sheetPr>
  <dimension ref="A1:V71"/>
  <sheetViews>
    <sheetView zoomScale="85" zoomScaleNormal="85" workbookViewId="0">
      <pane ySplit="7" topLeftCell="A8" activePane="bottomLeft" state="frozen"/>
      <selection pane="bottomLeft" activeCell="A8" sqref="A8:XFD71"/>
    </sheetView>
  </sheetViews>
  <sheetFormatPr defaultRowHeight="11.25" x14ac:dyDescent="0.2"/>
  <cols>
    <col min="1" max="1" width="13.140625" style="2" customWidth="1"/>
    <col min="2" max="2" width="10.140625" style="15" bestFit="1" customWidth="1"/>
    <col min="3" max="3" width="9.140625" style="2"/>
    <col min="4" max="4" width="11.140625" style="8" customWidth="1"/>
    <col min="5" max="5" width="7.42578125" style="2" bestFit="1" customWidth="1"/>
    <col min="6" max="7" width="9.140625" style="2"/>
    <col min="8" max="8" width="7.42578125" style="2" customWidth="1"/>
    <col min="9" max="9" width="7" style="2" customWidth="1"/>
    <col min="10" max="10" width="17" style="2" bestFit="1" customWidth="1"/>
    <col min="11" max="11" width="15.42578125" style="15" bestFit="1" customWidth="1"/>
    <col min="12" max="12" width="9.28515625" style="15" bestFit="1" customWidth="1"/>
    <col min="13" max="13" width="27.140625" style="15" customWidth="1"/>
    <col min="14" max="14" width="10.7109375" style="15" bestFit="1" customWidth="1"/>
    <col min="15" max="16" width="9.28515625" style="10" bestFit="1" customWidth="1"/>
    <col min="17" max="17" width="10" style="10" bestFit="1" customWidth="1"/>
    <col min="18" max="18" width="8.7109375" style="10" bestFit="1" customWidth="1"/>
    <col min="19" max="19" width="8.140625" style="2" customWidth="1"/>
    <col min="20" max="21" width="14.5703125" style="8" bestFit="1" customWidth="1"/>
    <col min="22" max="16384" width="9.140625" style="2"/>
  </cols>
  <sheetData>
    <row r="1" spans="1:22" x14ac:dyDescent="0.2">
      <c r="A1" s="3" t="s">
        <v>90</v>
      </c>
      <c r="B1" s="17"/>
      <c r="C1" s="4"/>
      <c r="D1" s="7"/>
      <c r="E1" s="4"/>
      <c r="F1" s="4"/>
      <c r="G1" s="4"/>
      <c r="H1" s="4"/>
      <c r="I1" s="4"/>
      <c r="J1" s="4"/>
      <c r="P1" s="10" t="s">
        <v>89</v>
      </c>
      <c r="Q1" s="106">
        <v>44926</v>
      </c>
    </row>
    <row r="2" spans="1:22" x14ac:dyDescent="0.2">
      <c r="A2" s="3"/>
      <c r="B2" s="17"/>
      <c r="C2" s="4"/>
      <c r="D2" s="7"/>
      <c r="E2" s="4"/>
      <c r="F2" s="4"/>
      <c r="G2" s="4"/>
      <c r="H2" s="4"/>
      <c r="I2" s="4"/>
      <c r="J2" s="4"/>
    </row>
    <row r="3" spans="1:22" x14ac:dyDescent="0.2">
      <c r="A3" s="3"/>
      <c r="B3" s="17"/>
      <c r="C3" s="4"/>
      <c r="D3" s="7"/>
      <c r="E3" s="4"/>
      <c r="F3" s="4"/>
      <c r="G3" s="4"/>
      <c r="H3" s="4"/>
      <c r="I3" s="4"/>
      <c r="J3" s="4"/>
    </row>
    <row r="4" spans="1:22" x14ac:dyDescent="0.2">
      <c r="A4" s="3"/>
      <c r="B4" s="17"/>
      <c r="C4" s="4"/>
      <c r="D4" s="7"/>
      <c r="E4" s="4"/>
      <c r="F4" s="4"/>
      <c r="G4" s="4"/>
      <c r="H4" s="4"/>
      <c r="I4" s="4"/>
      <c r="J4" s="4"/>
    </row>
    <row r="5" spans="1:22" x14ac:dyDescent="0.2">
      <c r="A5" s="3"/>
      <c r="B5" s="17"/>
      <c r="C5" s="4"/>
      <c r="D5" s="7"/>
      <c r="E5" s="4"/>
      <c r="F5" s="4"/>
      <c r="G5" s="4"/>
      <c r="H5" s="4"/>
      <c r="I5" s="4"/>
      <c r="J5" s="4"/>
    </row>
    <row r="7" spans="1:22" ht="38.25" customHeight="1" x14ac:dyDescent="0.2">
      <c r="A7" s="5" t="s">
        <v>70</v>
      </c>
      <c r="B7" s="18" t="s">
        <v>71</v>
      </c>
      <c r="C7" s="6" t="s">
        <v>72</v>
      </c>
      <c r="D7" s="9" t="s">
        <v>57</v>
      </c>
      <c r="E7" s="5" t="s">
        <v>73</v>
      </c>
      <c r="F7" s="6" t="s">
        <v>74</v>
      </c>
      <c r="G7" s="6" t="s">
        <v>75</v>
      </c>
      <c r="H7" s="6" t="s">
        <v>8</v>
      </c>
      <c r="I7" s="6" t="s">
        <v>9</v>
      </c>
      <c r="J7" s="6" t="s">
        <v>7</v>
      </c>
      <c r="K7" s="16" t="s">
        <v>76</v>
      </c>
      <c r="L7" s="16" t="s">
        <v>77</v>
      </c>
      <c r="M7" s="16" t="s">
        <v>78</v>
      </c>
      <c r="N7" s="16" t="s">
        <v>79</v>
      </c>
      <c r="O7" s="11" t="s">
        <v>80</v>
      </c>
      <c r="P7" s="12" t="s">
        <v>87</v>
      </c>
      <c r="Q7" s="13" t="s">
        <v>88</v>
      </c>
      <c r="R7" s="14" t="s">
        <v>56</v>
      </c>
      <c r="S7" s="2" t="s">
        <v>83</v>
      </c>
      <c r="T7" s="8" t="s">
        <v>84</v>
      </c>
      <c r="U7" s="8" t="s">
        <v>85</v>
      </c>
      <c r="V7" s="2" t="s">
        <v>86</v>
      </c>
    </row>
    <row r="8" spans="1:22" ht="15" x14ac:dyDescent="0.25">
      <c r="A8" s="182" t="s">
        <v>654</v>
      </c>
      <c r="B8" s="183">
        <v>44911</v>
      </c>
      <c r="C8" s="182" t="s">
        <v>655</v>
      </c>
      <c r="D8" s="184">
        <v>706.58</v>
      </c>
      <c r="E8" s="182" t="s">
        <v>139</v>
      </c>
      <c r="K8" s="2"/>
      <c r="L8" s="183">
        <v>44911</v>
      </c>
      <c r="N8" s="15">
        <f>+O8</f>
        <v>44942</v>
      </c>
      <c r="O8" s="183">
        <v>44942</v>
      </c>
      <c r="S8" s="10"/>
      <c r="V8" s="118"/>
    </row>
    <row r="9" spans="1:22" ht="15" x14ac:dyDescent="0.25">
      <c r="A9" s="182" t="s">
        <v>656</v>
      </c>
      <c r="B9" s="183">
        <v>44910</v>
      </c>
      <c r="C9" s="182" t="s">
        <v>657</v>
      </c>
      <c r="D9" s="184">
        <v>94.5</v>
      </c>
      <c r="E9" s="182" t="s">
        <v>139</v>
      </c>
      <c r="K9" s="2"/>
      <c r="L9" s="183">
        <v>44910</v>
      </c>
      <c r="N9" s="15">
        <f>+O9</f>
        <v>44927</v>
      </c>
      <c r="O9" s="183">
        <v>44927</v>
      </c>
      <c r="S9" s="10"/>
      <c r="V9" s="118"/>
    </row>
    <row r="10" spans="1:22" ht="15" x14ac:dyDescent="0.25">
      <c r="A10" s="182" t="s">
        <v>658</v>
      </c>
      <c r="B10" s="183">
        <v>44911</v>
      </c>
      <c r="C10" s="182" t="s">
        <v>659</v>
      </c>
      <c r="D10" s="184">
        <v>39.4</v>
      </c>
      <c r="E10" s="182" t="s">
        <v>139</v>
      </c>
      <c r="K10" s="2"/>
      <c r="L10" s="183">
        <v>44910</v>
      </c>
      <c r="N10" s="15">
        <f>+O10</f>
        <v>44927</v>
      </c>
      <c r="O10" s="183">
        <v>44927</v>
      </c>
      <c r="S10" s="10"/>
      <c r="V10" s="118"/>
    </row>
    <row r="11" spans="1:22" ht="15" x14ac:dyDescent="0.25">
      <c r="A11" s="182" t="s">
        <v>660</v>
      </c>
      <c r="B11" s="183">
        <v>44924</v>
      </c>
      <c r="C11" s="182" t="s">
        <v>661</v>
      </c>
      <c r="D11" s="184">
        <v>609.84</v>
      </c>
      <c r="E11" s="182" t="s">
        <v>139</v>
      </c>
      <c r="K11" s="2"/>
      <c r="L11" s="183">
        <v>44924</v>
      </c>
      <c r="N11" s="15">
        <f>+O11</f>
        <v>44939</v>
      </c>
      <c r="O11" s="183">
        <v>44939</v>
      </c>
      <c r="S11" s="10"/>
      <c r="V11" s="118"/>
    </row>
    <row r="12" spans="1:22" ht="15" x14ac:dyDescent="0.25">
      <c r="A12" s="182" t="s">
        <v>662</v>
      </c>
      <c r="B12" s="183">
        <v>44922</v>
      </c>
      <c r="C12" s="182" t="s">
        <v>663</v>
      </c>
      <c r="D12" s="184">
        <v>2401.85</v>
      </c>
      <c r="E12" s="182" t="s">
        <v>139</v>
      </c>
      <c r="K12" s="2"/>
      <c r="L12" s="183">
        <v>44922</v>
      </c>
      <c r="N12" s="15">
        <f>+O12</f>
        <v>44939</v>
      </c>
      <c r="O12" s="183">
        <v>44939</v>
      </c>
      <c r="S12" s="10"/>
      <c r="V12" s="118"/>
    </row>
    <row r="13" spans="1:22" ht="15" x14ac:dyDescent="0.25">
      <c r="A13" s="182" t="s">
        <v>664</v>
      </c>
      <c r="B13" s="183">
        <v>44921</v>
      </c>
      <c r="C13" s="182" t="s">
        <v>665</v>
      </c>
      <c r="D13" s="184">
        <v>1240.25</v>
      </c>
      <c r="E13" s="182" t="s">
        <v>139</v>
      </c>
      <c r="K13" s="2"/>
      <c r="L13" s="183">
        <v>44921</v>
      </c>
      <c r="N13" s="15">
        <f>+O13</f>
        <v>44927</v>
      </c>
      <c r="O13" s="183">
        <v>44927</v>
      </c>
      <c r="S13" s="10"/>
      <c r="V13" s="118"/>
    </row>
    <row r="14" spans="1:22" ht="15" x14ac:dyDescent="0.25">
      <c r="A14" s="182" t="s">
        <v>666</v>
      </c>
      <c r="B14" s="183">
        <v>44904</v>
      </c>
      <c r="C14" s="182" t="s">
        <v>667</v>
      </c>
      <c r="D14" s="184">
        <v>18.149999999999999</v>
      </c>
      <c r="E14" s="182" t="s">
        <v>139</v>
      </c>
      <c r="K14" s="2"/>
      <c r="L14" s="183">
        <v>44904</v>
      </c>
      <c r="N14" s="15">
        <f>+O14</f>
        <v>44927</v>
      </c>
      <c r="O14" s="183">
        <v>44927</v>
      </c>
      <c r="S14" s="10"/>
      <c r="V14" s="118"/>
    </row>
    <row r="15" spans="1:22" ht="15" x14ac:dyDescent="0.25">
      <c r="A15" s="182" t="s">
        <v>668</v>
      </c>
      <c r="B15" s="183">
        <v>44881</v>
      </c>
      <c r="C15" s="182" t="s">
        <v>669</v>
      </c>
      <c r="D15" s="184">
        <v>53.54</v>
      </c>
      <c r="E15" s="182" t="s">
        <v>210</v>
      </c>
      <c r="K15" s="2"/>
      <c r="L15" s="183">
        <v>44881</v>
      </c>
      <c r="N15" s="15">
        <f>+O15</f>
        <v>44936</v>
      </c>
      <c r="O15" s="183">
        <v>44936</v>
      </c>
      <c r="S15" s="10"/>
      <c r="V15" s="118"/>
    </row>
    <row r="16" spans="1:22" ht="15" x14ac:dyDescent="0.25">
      <c r="A16" s="182" t="s">
        <v>670</v>
      </c>
      <c r="B16" s="183">
        <v>44861</v>
      </c>
      <c r="C16" s="182" t="s">
        <v>671</v>
      </c>
      <c r="D16" s="184">
        <v>614.32000000000005</v>
      </c>
      <c r="E16" s="182" t="s">
        <v>210</v>
      </c>
      <c r="K16" s="2"/>
      <c r="L16" s="183">
        <v>44861</v>
      </c>
      <c r="N16" s="15">
        <f>+O16</f>
        <v>44936</v>
      </c>
      <c r="O16" s="183">
        <v>44936</v>
      </c>
      <c r="S16" s="10"/>
      <c r="V16" s="118"/>
    </row>
    <row r="17" spans="1:22" ht="15" x14ac:dyDescent="0.25">
      <c r="A17" s="182" t="s">
        <v>672</v>
      </c>
      <c r="B17" s="183">
        <v>44895</v>
      </c>
      <c r="C17" s="182" t="s">
        <v>673</v>
      </c>
      <c r="D17" s="184">
        <v>109.76</v>
      </c>
      <c r="E17" s="182" t="s">
        <v>210</v>
      </c>
      <c r="K17" s="2"/>
      <c r="L17" s="183">
        <v>44895</v>
      </c>
      <c r="N17" s="15">
        <f>+O17</f>
        <v>44927</v>
      </c>
      <c r="O17" s="183">
        <v>44927</v>
      </c>
      <c r="S17" s="10"/>
      <c r="V17" s="118"/>
    </row>
    <row r="18" spans="1:22" ht="15" x14ac:dyDescent="0.25">
      <c r="A18" s="182" t="s">
        <v>674</v>
      </c>
      <c r="B18" s="183">
        <v>44904</v>
      </c>
      <c r="C18" s="182" t="s">
        <v>675</v>
      </c>
      <c r="D18" s="184">
        <v>381.59</v>
      </c>
      <c r="E18" s="182" t="s">
        <v>210</v>
      </c>
      <c r="K18" s="2"/>
      <c r="L18" s="183">
        <v>44904</v>
      </c>
      <c r="N18" s="15">
        <f>+O18</f>
        <v>44935</v>
      </c>
      <c r="O18" s="183">
        <v>44935</v>
      </c>
      <c r="S18" s="10"/>
      <c r="V18" s="118"/>
    </row>
    <row r="19" spans="1:22" ht="15" x14ac:dyDescent="0.25">
      <c r="A19" s="182" t="s">
        <v>676</v>
      </c>
      <c r="B19" s="183">
        <v>44897</v>
      </c>
      <c r="C19" s="182" t="s">
        <v>677</v>
      </c>
      <c r="D19" s="184">
        <v>34.9</v>
      </c>
      <c r="E19" s="182" t="s">
        <v>210</v>
      </c>
      <c r="K19" s="2"/>
      <c r="L19" s="183">
        <v>44897</v>
      </c>
      <c r="N19" s="15">
        <f>+O19</f>
        <v>44927</v>
      </c>
      <c r="O19" s="183">
        <v>44927</v>
      </c>
      <c r="S19" s="10"/>
      <c r="V19" s="118"/>
    </row>
    <row r="20" spans="1:22" ht="15" x14ac:dyDescent="0.25">
      <c r="A20" s="182" t="s">
        <v>678</v>
      </c>
      <c r="B20" s="183">
        <v>44895</v>
      </c>
      <c r="C20" s="182" t="s">
        <v>679</v>
      </c>
      <c r="D20" s="184">
        <v>131.5</v>
      </c>
      <c r="E20" s="182" t="s">
        <v>210</v>
      </c>
      <c r="K20" s="2"/>
      <c r="L20" s="183">
        <v>44895</v>
      </c>
      <c r="N20" s="15">
        <f>+O20</f>
        <v>44927</v>
      </c>
      <c r="O20" s="183">
        <v>44927</v>
      </c>
      <c r="S20" s="10"/>
      <c r="V20" s="118"/>
    </row>
    <row r="21" spans="1:22" ht="15" x14ac:dyDescent="0.25">
      <c r="A21" s="182" t="s">
        <v>680</v>
      </c>
      <c r="B21" s="183">
        <v>44916</v>
      </c>
      <c r="C21" s="182" t="s">
        <v>681</v>
      </c>
      <c r="D21" s="184">
        <v>44.04</v>
      </c>
      <c r="E21" s="182" t="s">
        <v>210</v>
      </c>
      <c r="K21" s="2"/>
      <c r="L21" s="183">
        <v>44916</v>
      </c>
      <c r="N21" s="15">
        <f>+O21</f>
        <v>44939</v>
      </c>
      <c r="O21" s="183">
        <v>44939</v>
      </c>
      <c r="S21" s="10"/>
      <c r="V21" s="118"/>
    </row>
    <row r="22" spans="1:22" ht="15" x14ac:dyDescent="0.25">
      <c r="A22" s="182" t="s">
        <v>682</v>
      </c>
      <c r="B22" s="183">
        <v>44926</v>
      </c>
      <c r="C22" s="182" t="s">
        <v>683</v>
      </c>
      <c r="D22" s="184">
        <v>80.39</v>
      </c>
      <c r="E22" s="182" t="s">
        <v>210</v>
      </c>
      <c r="K22" s="2"/>
      <c r="L22" s="183">
        <v>44926</v>
      </c>
      <c r="N22" s="15">
        <f>+O22</f>
        <v>44927</v>
      </c>
      <c r="O22" s="183">
        <v>44927</v>
      </c>
      <c r="S22" s="10"/>
      <c r="V22" s="118"/>
    </row>
    <row r="23" spans="1:22" ht="15" x14ac:dyDescent="0.25">
      <c r="A23" s="182" t="s">
        <v>684</v>
      </c>
      <c r="B23" s="183">
        <v>44926</v>
      </c>
      <c r="C23" s="182" t="s">
        <v>685</v>
      </c>
      <c r="D23" s="184">
        <v>114.13</v>
      </c>
      <c r="E23" s="182" t="s">
        <v>210</v>
      </c>
      <c r="K23" s="2"/>
      <c r="L23" s="183">
        <v>44926</v>
      </c>
      <c r="N23" s="15">
        <f>+O23</f>
        <v>44927</v>
      </c>
      <c r="O23" s="183">
        <v>44927</v>
      </c>
      <c r="S23" s="10"/>
      <c r="V23" s="118"/>
    </row>
    <row r="24" spans="1:22" ht="15" x14ac:dyDescent="0.25">
      <c r="A24" s="182" t="s">
        <v>686</v>
      </c>
      <c r="B24" s="183">
        <v>44895</v>
      </c>
      <c r="C24" s="182" t="s">
        <v>687</v>
      </c>
      <c r="D24" s="184">
        <v>8.74</v>
      </c>
      <c r="E24" s="182" t="s">
        <v>299</v>
      </c>
      <c r="K24" s="2"/>
      <c r="L24" s="183">
        <v>44895</v>
      </c>
      <c r="N24" s="15">
        <f>+O24</f>
        <v>44928</v>
      </c>
      <c r="O24" s="183">
        <v>44928</v>
      </c>
      <c r="S24" s="10"/>
      <c r="V24" s="118"/>
    </row>
    <row r="25" spans="1:22" ht="15" x14ac:dyDescent="0.25">
      <c r="A25" s="182" t="s">
        <v>688</v>
      </c>
      <c r="B25" s="183">
        <v>44903</v>
      </c>
      <c r="C25" s="182" t="s">
        <v>689</v>
      </c>
      <c r="D25" s="184">
        <v>17</v>
      </c>
      <c r="E25" s="182" t="s">
        <v>299</v>
      </c>
      <c r="K25" s="2"/>
      <c r="L25" s="183">
        <v>44903</v>
      </c>
      <c r="N25" s="15">
        <f>+O25</f>
        <v>44927</v>
      </c>
      <c r="O25" s="183">
        <v>44927</v>
      </c>
      <c r="S25" s="10"/>
      <c r="V25" s="118"/>
    </row>
    <row r="26" spans="1:22" ht="15" x14ac:dyDescent="0.25">
      <c r="A26" s="182" t="s">
        <v>690</v>
      </c>
      <c r="B26" s="183">
        <v>44873</v>
      </c>
      <c r="C26" s="182" t="s">
        <v>691</v>
      </c>
      <c r="D26" s="184">
        <v>17</v>
      </c>
      <c r="E26" s="182" t="s">
        <v>299</v>
      </c>
      <c r="K26" s="2"/>
      <c r="L26" s="183">
        <v>44873</v>
      </c>
      <c r="N26" s="15">
        <f>+O26</f>
        <v>44927</v>
      </c>
      <c r="O26" s="183">
        <v>44927</v>
      </c>
      <c r="S26" s="10"/>
      <c r="V26" s="118"/>
    </row>
    <row r="27" spans="1:22" ht="15" x14ac:dyDescent="0.25">
      <c r="A27" s="182" t="s">
        <v>692</v>
      </c>
      <c r="B27" s="183">
        <v>44926</v>
      </c>
      <c r="C27" s="182" t="s">
        <v>693</v>
      </c>
      <c r="D27" s="184">
        <v>356.41</v>
      </c>
      <c r="E27" s="182" t="s">
        <v>299</v>
      </c>
      <c r="K27" s="2"/>
      <c r="L27" s="183">
        <v>44926</v>
      </c>
      <c r="N27" s="15">
        <f>+O27</f>
        <v>44931</v>
      </c>
      <c r="O27" s="183">
        <v>44931</v>
      </c>
      <c r="S27" s="10"/>
      <c r="V27" s="118"/>
    </row>
    <row r="28" spans="1:22" ht="15" x14ac:dyDescent="0.25">
      <c r="A28" s="182" t="s">
        <v>694</v>
      </c>
      <c r="B28" s="183">
        <v>44926</v>
      </c>
      <c r="C28" s="182" t="s">
        <v>695</v>
      </c>
      <c r="D28" s="184">
        <v>167.97</v>
      </c>
      <c r="E28" s="182" t="s">
        <v>299</v>
      </c>
      <c r="K28" s="2"/>
      <c r="L28" s="183">
        <v>44926</v>
      </c>
      <c r="N28" s="15">
        <f>+O28</f>
        <v>44927</v>
      </c>
      <c r="O28" s="183">
        <v>44927</v>
      </c>
      <c r="S28" s="10"/>
      <c r="V28" s="118"/>
    </row>
    <row r="29" spans="1:22" ht="15" x14ac:dyDescent="0.25">
      <c r="A29" s="182" t="s">
        <v>696</v>
      </c>
      <c r="B29" s="183">
        <v>44916</v>
      </c>
      <c r="C29" s="182" t="s">
        <v>697</v>
      </c>
      <c r="D29" s="184">
        <v>955.9</v>
      </c>
      <c r="E29" s="182" t="s">
        <v>299</v>
      </c>
      <c r="K29" s="2"/>
      <c r="L29" s="183">
        <v>44916</v>
      </c>
      <c r="N29" s="15">
        <f>+O29</f>
        <v>44939</v>
      </c>
      <c r="O29" s="183">
        <v>44939</v>
      </c>
      <c r="S29" s="10"/>
      <c r="V29" s="118"/>
    </row>
    <row r="30" spans="1:22" ht="15" x14ac:dyDescent="0.25">
      <c r="A30" s="182" t="s">
        <v>698</v>
      </c>
      <c r="B30" s="183">
        <v>44916</v>
      </c>
      <c r="C30" s="182" t="s">
        <v>699</v>
      </c>
      <c r="D30" s="184">
        <v>574.75</v>
      </c>
      <c r="E30" s="182" t="s">
        <v>299</v>
      </c>
      <c r="K30" s="2"/>
      <c r="L30" s="183">
        <v>44916</v>
      </c>
      <c r="N30" s="15">
        <f>+O30</f>
        <v>44939</v>
      </c>
      <c r="O30" s="183">
        <v>44939</v>
      </c>
      <c r="S30" s="10"/>
      <c r="V30" s="118"/>
    </row>
    <row r="31" spans="1:22" ht="15" x14ac:dyDescent="0.25">
      <c r="A31" s="182" t="s">
        <v>700</v>
      </c>
      <c r="B31" s="183">
        <v>44916</v>
      </c>
      <c r="C31" s="182" t="s">
        <v>701</v>
      </c>
      <c r="D31" s="184">
        <v>605</v>
      </c>
      <c r="E31" s="182" t="s">
        <v>299</v>
      </c>
      <c r="K31" s="2"/>
      <c r="L31" s="183">
        <v>44916</v>
      </c>
      <c r="N31" s="15">
        <f>+O31</f>
        <v>44939</v>
      </c>
      <c r="O31" s="183">
        <v>44939</v>
      </c>
      <c r="S31" s="10"/>
      <c r="V31" s="118"/>
    </row>
    <row r="32" spans="1:22" ht="15" x14ac:dyDescent="0.25">
      <c r="A32" s="182" t="s">
        <v>702</v>
      </c>
      <c r="B32" s="183">
        <v>44916</v>
      </c>
      <c r="C32" s="182" t="s">
        <v>703</v>
      </c>
      <c r="D32" s="184">
        <v>102.85</v>
      </c>
      <c r="E32" s="182" t="s">
        <v>299</v>
      </c>
      <c r="K32" s="2"/>
      <c r="L32" s="183">
        <v>44916</v>
      </c>
      <c r="N32" s="15">
        <f>+O32</f>
        <v>44939</v>
      </c>
      <c r="O32" s="183">
        <v>44939</v>
      </c>
      <c r="S32" s="10"/>
      <c r="V32" s="118"/>
    </row>
    <row r="33" spans="1:22" ht="15" x14ac:dyDescent="0.25">
      <c r="A33" s="182" t="s">
        <v>704</v>
      </c>
      <c r="B33" s="183">
        <v>44916</v>
      </c>
      <c r="C33" s="182" t="s">
        <v>705</v>
      </c>
      <c r="D33" s="184">
        <v>3379.29</v>
      </c>
      <c r="E33" s="182" t="s">
        <v>299</v>
      </c>
      <c r="K33" s="2"/>
      <c r="L33" s="183">
        <v>44916</v>
      </c>
      <c r="N33" s="15">
        <f>+O33</f>
        <v>44939</v>
      </c>
      <c r="O33" s="183">
        <v>44939</v>
      </c>
      <c r="S33" s="10"/>
      <c r="V33" s="118"/>
    </row>
    <row r="34" spans="1:22" ht="15" x14ac:dyDescent="0.25">
      <c r="A34" s="182" t="s">
        <v>706</v>
      </c>
      <c r="B34" s="183">
        <v>44916</v>
      </c>
      <c r="C34" s="182" t="s">
        <v>707</v>
      </c>
      <c r="D34" s="184">
        <v>1597.2</v>
      </c>
      <c r="E34" s="182" t="s">
        <v>299</v>
      </c>
      <c r="K34" s="2"/>
      <c r="L34" s="183">
        <v>44916</v>
      </c>
      <c r="N34" s="15">
        <f>+O34</f>
        <v>44939</v>
      </c>
      <c r="O34" s="183">
        <v>44939</v>
      </c>
      <c r="S34" s="10"/>
      <c r="V34" s="118"/>
    </row>
    <row r="35" spans="1:22" ht="15" x14ac:dyDescent="0.25">
      <c r="A35" s="182" t="s">
        <v>708</v>
      </c>
      <c r="B35" s="183">
        <v>44926</v>
      </c>
      <c r="C35" s="182" t="s">
        <v>709</v>
      </c>
      <c r="D35" s="184">
        <v>10.64</v>
      </c>
      <c r="E35" s="182" t="s">
        <v>299</v>
      </c>
      <c r="K35" s="2"/>
      <c r="L35" s="183">
        <v>44926</v>
      </c>
      <c r="N35" s="15">
        <f>+O35</f>
        <v>44927</v>
      </c>
      <c r="O35" s="183">
        <v>44927</v>
      </c>
      <c r="S35" s="10"/>
      <c r="V35" s="118"/>
    </row>
    <row r="36" spans="1:22" ht="15" x14ac:dyDescent="0.25">
      <c r="A36" s="182" t="s">
        <v>710</v>
      </c>
      <c r="B36" s="183">
        <v>44909</v>
      </c>
      <c r="C36" s="182" t="s">
        <v>711</v>
      </c>
      <c r="D36" s="184">
        <v>3.94</v>
      </c>
      <c r="E36" s="182" t="s">
        <v>299</v>
      </c>
      <c r="K36" s="2"/>
      <c r="L36" s="183">
        <v>44909</v>
      </c>
      <c r="N36" s="15">
        <f>+O36</f>
        <v>44939</v>
      </c>
      <c r="O36" s="183">
        <v>44939</v>
      </c>
      <c r="S36" s="10"/>
      <c r="V36" s="118"/>
    </row>
    <row r="37" spans="1:22" ht="15" x14ac:dyDescent="0.25">
      <c r="A37" s="182" t="s">
        <v>712</v>
      </c>
      <c r="B37" s="183">
        <v>44926</v>
      </c>
      <c r="C37" s="182" t="s">
        <v>713</v>
      </c>
      <c r="D37" s="184">
        <v>112.51</v>
      </c>
      <c r="E37" s="182" t="s">
        <v>299</v>
      </c>
      <c r="K37" s="2"/>
      <c r="L37" s="183">
        <v>44926</v>
      </c>
      <c r="N37" s="15">
        <f>+O37</f>
        <v>44927</v>
      </c>
      <c r="O37" s="183">
        <v>44927</v>
      </c>
      <c r="S37" s="10"/>
      <c r="V37" s="118"/>
    </row>
    <row r="38" spans="1:22" ht="15" x14ac:dyDescent="0.25">
      <c r="A38" s="182" t="s">
        <v>714</v>
      </c>
      <c r="B38" s="183">
        <v>44925</v>
      </c>
      <c r="C38" s="182" t="s">
        <v>715</v>
      </c>
      <c r="D38" s="184">
        <v>3018.33</v>
      </c>
      <c r="E38" s="182" t="s">
        <v>299</v>
      </c>
      <c r="K38" s="2"/>
      <c r="L38" s="183">
        <v>44925</v>
      </c>
      <c r="N38" s="15">
        <f>+O38</f>
        <v>44939</v>
      </c>
      <c r="O38" s="183">
        <v>44939</v>
      </c>
      <c r="S38" s="10"/>
      <c r="V38" s="118"/>
    </row>
    <row r="39" spans="1:22" ht="15" x14ac:dyDescent="0.25">
      <c r="A39" s="182" t="s">
        <v>716</v>
      </c>
      <c r="B39" s="183">
        <v>44924</v>
      </c>
      <c r="C39" s="182" t="s">
        <v>717</v>
      </c>
      <c r="D39" s="184">
        <v>13.39</v>
      </c>
      <c r="E39" s="182" t="s">
        <v>299</v>
      </c>
      <c r="K39" s="2"/>
      <c r="L39" s="183">
        <v>44924</v>
      </c>
      <c r="N39" s="15">
        <f>+O39</f>
        <v>44943</v>
      </c>
      <c r="O39" s="183">
        <v>44943</v>
      </c>
      <c r="S39" s="10"/>
      <c r="V39" s="118"/>
    </row>
    <row r="40" spans="1:22" ht="15" x14ac:dyDescent="0.25">
      <c r="A40" s="182" t="s">
        <v>718</v>
      </c>
      <c r="B40" s="183">
        <v>44924</v>
      </c>
      <c r="C40" s="182" t="s">
        <v>719</v>
      </c>
      <c r="D40" s="184">
        <v>46.19</v>
      </c>
      <c r="E40" s="182" t="s">
        <v>299</v>
      </c>
      <c r="K40" s="2"/>
      <c r="L40" s="183">
        <v>44924</v>
      </c>
      <c r="N40" s="15">
        <f>+O40</f>
        <v>44943</v>
      </c>
      <c r="O40" s="183">
        <v>44943</v>
      </c>
      <c r="S40" s="10"/>
      <c r="V40" s="118"/>
    </row>
    <row r="41" spans="1:22" ht="15" x14ac:dyDescent="0.25">
      <c r="A41" s="182" t="s">
        <v>720</v>
      </c>
      <c r="B41" s="183">
        <v>44924</v>
      </c>
      <c r="C41" s="182" t="s">
        <v>721</v>
      </c>
      <c r="D41" s="184">
        <v>37.67</v>
      </c>
      <c r="E41" s="182" t="s">
        <v>299</v>
      </c>
      <c r="K41" s="2"/>
      <c r="L41" s="183">
        <v>44924</v>
      </c>
      <c r="N41" s="15">
        <f>+O41</f>
        <v>44943</v>
      </c>
      <c r="O41" s="183">
        <v>44943</v>
      </c>
      <c r="S41" s="10"/>
      <c r="V41" s="118"/>
    </row>
    <row r="42" spans="1:22" ht="15" x14ac:dyDescent="0.25">
      <c r="A42" s="182" t="s">
        <v>722</v>
      </c>
      <c r="B42" s="183">
        <v>44924</v>
      </c>
      <c r="C42" s="182" t="s">
        <v>723</v>
      </c>
      <c r="D42" s="184">
        <v>14.05</v>
      </c>
      <c r="E42" s="182" t="s">
        <v>299</v>
      </c>
      <c r="K42" s="2"/>
      <c r="L42" s="183">
        <v>44924</v>
      </c>
      <c r="N42" s="15">
        <f>+O42</f>
        <v>44943</v>
      </c>
      <c r="O42" s="183">
        <v>44943</v>
      </c>
      <c r="S42" s="10"/>
      <c r="V42" s="118"/>
    </row>
    <row r="43" spans="1:22" ht="15" x14ac:dyDescent="0.25">
      <c r="A43" s="182" t="s">
        <v>724</v>
      </c>
      <c r="B43" s="183">
        <v>44924</v>
      </c>
      <c r="C43" s="182" t="s">
        <v>725</v>
      </c>
      <c r="D43" s="184">
        <v>11.26</v>
      </c>
      <c r="E43" s="182" t="s">
        <v>299</v>
      </c>
      <c r="K43" s="2"/>
      <c r="L43" s="183">
        <v>44924</v>
      </c>
      <c r="N43" s="15">
        <f>+O43</f>
        <v>44943</v>
      </c>
      <c r="O43" s="183">
        <v>44943</v>
      </c>
      <c r="S43" s="10"/>
      <c r="V43" s="118"/>
    </row>
    <row r="44" spans="1:22" ht="15" x14ac:dyDescent="0.25">
      <c r="A44" s="182" t="s">
        <v>726</v>
      </c>
      <c r="B44" s="183">
        <v>44924</v>
      </c>
      <c r="C44" s="182" t="s">
        <v>727</v>
      </c>
      <c r="D44" s="184">
        <v>26.33</v>
      </c>
      <c r="E44" s="182" t="s">
        <v>299</v>
      </c>
      <c r="K44" s="2"/>
      <c r="L44" s="183">
        <v>44924</v>
      </c>
      <c r="N44" s="15">
        <f>+O44</f>
        <v>44943</v>
      </c>
      <c r="O44" s="183">
        <v>44943</v>
      </c>
      <c r="S44" s="10"/>
      <c r="V44" s="118"/>
    </row>
    <row r="45" spans="1:22" ht="15" x14ac:dyDescent="0.25">
      <c r="A45" s="182" t="s">
        <v>728</v>
      </c>
      <c r="B45" s="183">
        <v>44924</v>
      </c>
      <c r="C45" s="182" t="s">
        <v>729</v>
      </c>
      <c r="D45" s="184">
        <v>20.100000000000001</v>
      </c>
      <c r="E45" s="182" t="s">
        <v>299</v>
      </c>
      <c r="K45" s="2"/>
      <c r="L45" s="183">
        <v>44924</v>
      </c>
      <c r="N45" s="15">
        <f>+O45</f>
        <v>44943</v>
      </c>
      <c r="O45" s="183">
        <v>44943</v>
      </c>
      <c r="S45" s="10"/>
      <c r="V45" s="118"/>
    </row>
    <row r="46" spans="1:22" ht="15" x14ac:dyDescent="0.25">
      <c r="A46" s="182" t="s">
        <v>730</v>
      </c>
      <c r="B46" s="183">
        <v>44924</v>
      </c>
      <c r="C46" s="182" t="s">
        <v>731</v>
      </c>
      <c r="D46" s="184">
        <v>773.35</v>
      </c>
      <c r="E46" s="182" t="s">
        <v>299</v>
      </c>
      <c r="K46" s="2"/>
      <c r="L46" s="183">
        <v>44924</v>
      </c>
      <c r="N46" s="15">
        <f>+O46</f>
        <v>44943</v>
      </c>
      <c r="O46" s="183">
        <v>44943</v>
      </c>
      <c r="S46" s="10"/>
      <c r="V46" s="118"/>
    </row>
    <row r="47" spans="1:22" ht="15" x14ac:dyDescent="0.25">
      <c r="A47" s="182" t="s">
        <v>732</v>
      </c>
      <c r="B47" s="183">
        <v>44924</v>
      </c>
      <c r="C47" s="182" t="s">
        <v>733</v>
      </c>
      <c r="D47" s="184">
        <v>10.47</v>
      </c>
      <c r="E47" s="182" t="s">
        <v>299</v>
      </c>
      <c r="K47" s="2"/>
      <c r="L47" s="183">
        <v>44924</v>
      </c>
      <c r="N47" s="15">
        <f>+O47</f>
        <v>44943</v>
      </c>
      <c r="O47" s="183">
        <v>44943</v>
      </c>
      <c r="S47" s="10"/>
      <c r="V47" s="118"/>
    </row>
    <row r="48" spans="1:22" ht="15" x14ac:dyDescent="0.25">
      <c r="A48" s="182" t="s">
        <v>734</v>
      </c>
      <c r="B48" s="183">
        <v>44924</v>
      </c>
      <c r="C48" s="182" t="s">
        <v>735</v>
      </c>
      <c r="D48" s="184">
        <v>552.17999999999995</v>
      </c>
      <c r="E48" s="182" t="s">
        <v>299</v>
      </c>
      <c r="K48" s="2"/>
      <c r="L48" s="183">
        <v>44924</v>
      </c>
      <c r="N48" s="15">
        <f>+O48</f>
        <v>44943</v>
      </c>
      <c r="O48" s="183">
        <v>44943</v>
      </c>
      <c r="S48" s="10"/>
      <c r="V48" s="118"/>
    </row>
    <row r="49" spans="1:22" ht="15" x14ac:dyDescent="0.25">
      <c r="A49" s="182" t="s">
        <v>736</v>
      </c>
      <c r="B49" s="183">
        <v>44924</v>
      </c>
      <c r="C49" s="182" t="s">
        <v>737</v>
      </c>
      <c r="D49" s="184">
        <v>415.9</v>
      </c>
      <c r="E49" s="182" t="s">
        <v>299</v>
      </c>
      <c r="K49" s="2"/>
      <c r="L49" s="183">
        <v>44924</v>
      </c>
      <c r="N49" s="15">
        <f>+O49</f>
        <v>44943</v>
      </c>
      <c r="O49" s="183">
        <v>44943</v>
      </c>
      <c r="S49" s="10"/>
      <c r="V49" s="118"/>
    </row>
    <row r="50" spans="1:22" ht="15" x14ac:dyDescent="0.25">
      <c r="A50" s="182" t="s">
        <v>738</v>
      </c>
      <c r="B50" s="183">
        <v>44924</v>
      </c>
      <c r="C50" s="182" t="s">
        <v>739</v>
      </c>
      <c r="D50" s="184">
        <v>640.89</v>
      </c>
      <c r="E50" s="182" t="s">
        <v>299</v>
      </c>
      <c r="K50" s="2"/>
      <c r="L50" s="183">
        <v>44924</v>
      </c>
      <c r="N50" s="15">
        <f>+O50</f>
        <v>44943</v>
      </c>
      <c r="O50" s="183">
        <v>44943</v>
      </c>
      <c r="S50" s="10"/>
      <c r="V50" s="118"/>
    </row>
    <row r="51" spans="1:22" ht="15" x14ac:dyDescent="0.25">
      <c r="A51" s="182" t="s">
        <v>740</v>
      </c>
      <c r="B51" s="183">
        <v>44924</v>
      </c>
      <c r="C51" s="182" t="s">
        <v>741</v>
      </c>
      <c r="D51" s="184">
        <v>437.38</v>
      </c>
      <c r="E51" s="182" t="s">
        <v>299</v>
      </c>
      <c r="K51" s="2"/>
      <c r="L51" s="183">
        <v>44924</v>
      </c>
      <c r="N51" s="15">
        <f>+O51</f>
        <v>44943</v>
      </c>
      <c r="O51" s="183">
        <v>44943</v>
      </c>
      <c r="S51" s="10"/>
      <c r="V51" s="118"/>
    </row>
    <row r="52" spans="1:22" ht="15" x14ac:dyDescent="0.25">
      <c r="A52" s="182" t="s">
        <v>742</v>
      </c>
      <c r="B52" s="183">
        <v>44924</v>
      </c>
      <c r="C52" s="182" t="s">
        <v>743</v>
      </c>
      <c r="D52" s="184">
        <v>14.73</v>
      </c>
      <c r="E52" s="182" t="s">
        <v>299</v>
      </c>
      <c r="K52" s="2"/>
      <c r="L52" s="183">
        <v>44924</v>
      </c>
      <c r="N52" s="15">
        <f>+O52</f>
        <v>44943</v>
      </c>
      <c r="O52" s="183">
        <v>44943</v>
      </c>
      <c r="S52" s="10"/>
      <c r="V52" s="118"/>
    </row>
    <row r="53" spans="1:22" ht="15" x14ac:dyDescent="0.25">
      <c r="A53" s="182" t="s">
        <v>744</v>
      </c>
      <c r="B53" s="183">
        <v>44925</v>
      </c>
      <c r="C53" s="182" t="s">
        <v>745</v>
      </c>
      <c r="D53" s="184">
        <v>1400</v>
      </c>
      <c r="E53" s="182" t="s">
        <v>299</v>
      </c>
      <c r="K53" s="2"/>
      <c r="L53" s="183">
        <v>44925</v>
      </c>
      <c r="N53" s="15">
        <f>+O53</f>
        <v>44939</v>
      </c>
      <c r="O53" s="183">
        <v>44939</v>
      </c>
      <c r="S53" s="10"/>
      <c r="V53" s="118"/>
    </row>
    <row r="54" spans="1:22" ht="15" x14ac:dyDescent="0.25">
      <c r="A54" s="182" t="s">
        <v>746</v>
      </c>
      <c r="B54" s="183">
        <v>44926</v>
      </c>
      <c r="C54" s="182" t="s">
        <v>747</v>
      </c>
      <c r="D54" s="184">
        <v>963.55</v>
      </c>
      <c r="E54" s="182" t="s">
        <v>299</v>
      </c>
      <c r="K54" s="2"/>
      <c r="L54" s="183">
        <v>44926</v>
      </c>
      <c r="N54" s="15">
        <f>+O54</f>
        <v>44939</v>
      </c>
      <c r="O54" s="183">
        <v>44939</v>
      </c>
      <c r="S54" s="10"/>
      <c r="V54" s="118"/>
    </row>
    <row r="55" spans="1:22" ht="15" x14ac:dyDescent="0.25">
      <c r="A55" s="182" t="s">
        <v>748</v>
      </c>
      <c r="B55" s="183">
        <v>44926</v>
      </c>
      <c r="C55" s="182" t="s">
        <v>749</v>
      </c>
      <c r="D55" s="184">
        <v>968</v>
      </c>
      <c r="E55" s="182" t="s">
        <v>299</v>
      </c>
      <c r="K55" s="2"/>
      <c r="L55" s="183">
        <v>44926</v>
      </c>
      <c r="N55" s="15">
        <f>+O55</f>
        <v>44927</v>
      </c>
      <c r="O55" s="183">
        <v>44927</v>
      </c>
      <c r="S55" s="10"/>
      <c r="V55" s="118"/>
    </row>
    <row r="56" spans="1:22" ht="15" x14ac:dyDescent="0.25">
      <c r="A56" s="182" t="s">
        <v>750</v>
      </c>
      <c r="B56" s="183">
        <v>44915</v>
      </c>
      <c r="C56" s="182" t="s">
        <v>751</v>
      </c>
      <c r="D56" s="184">
        <v>54.78</v>
      </c>
      <c r="E56" s="182" t="s">
        <v>299</v>
      </c>
      <c r="K56" s="2"/>
      <c r="L56" s="183">
        <v>44915</v>
      </c>
      <c r="N56" s="15">
        <f>+O56</f>
        <v>44943</v>
      </c>
      <c r="O56" s="183">
        <v>44943</v>
      </c>
      <c r="S56" s="10"/>
      <c r="V56" s="118"/>
    </row>
    <row r="57" spans="1:22" ht="15" x14ac:dyDescent="0.25">
      <c r="A57" s="182" t="s">
        <v>752</v>
      </c>
      <c r="B57" s="183">
        <v>44926</v>
      </c>
      <c r="C57" s="182" t="s">
        <v>753</v>
      </c>
      <c r="D57" s="184">
        <v>269.45</v>
      </c>
      <c r="E57" s="182" t="s">
        <v>299</v>
      </c>
      <c r="K57" s="2"/>
      <c r="L57" s="183">
        <v>44926</v>
      </c>
      <c r="N57" s="15">
        <f>+O57</f>
        <v>44927</v>
      </c>
      <c r="O57" s="183">
        <v>44927</v>
      </c>
      <c r="S57" s="10"/>
      <c r="V57" s="118"/>
    </row>
    <row r="58" spans="1:22" ht="15" x14ac:dyDescent="0.25">
      <c r="A58" s="182" t="s">
        <v>754</v>
      </c>
      <c r="B58" s="183">
        <v>44926</v>
      </c>
      <c r="C58" s="182" t="s">
        <v>755</v>
      </c>
      <c r="D58" s="184">
        <v>53.89</v>
      </c>
      <c r="E58" s="182" t="s">
        <v>299</v>
      </c>
      <c r="K58" s="2"/>
      <c r="L58" s="183">
        <v>44926</v>
      </c>
      <c r="N58" s="15">
        <f>+O58</f>
        <v>44927</v>
      </c>
      <c r="O58" s="183">
        <v>44927</v>
      </c>
      <c r="S58" s="10"/>
      <c r="V58" s="118"/>
    </row>
    <row r="59" spans="1:22" ht="15" x14ac:dyDescent="0.25">
      <c r="A59" s="182" t="s">
        <v>756</v>
      </c>
      <c r="B59" s="183">
        <v>44895</v>
      </c>
      <c r="C59" s="182" t="s">
        <v>757</v>
      </c>
      <c r="D59" s="184">
        <v>16.309999999999999</v>
      </c>
      <c r="E59" s="182" t="s">
        <v>299</v>
      </c>
      <c r="K59" s="2"/>
      <c r="L59" s="183">
        <v>44895</v>
      </c>
      <c r="N59" s="15">
        <f>+O59</f>
        <v>44927</v>
      </c>
      <c r="O59" s="183">
        <v>44927</v>
      </c>
      <c r="S59" s="10"/>
      <c r="V59" s="118"/>
    </row>
    <row r="60" spans="1:22" ht="15" x14ac:dyDescent="0.25">
      <c r="A60" s="182" t="s">
        <v>758</v>
      </c>
      <c r="B60" s="183">
        <v>44912</v>
      </c>
      <c r="C60" s="182" t="s">
        <v>759</v>
      </c>
      <c r="D60" s="184">
        <v>382.94</v>
      </c>
      <c r="E60" s="182" t="s">
        <v>581</v>
      </c>
      <c r="K60" s="2"/>
      <c r="L60" s="183">
        <v>44912</v>
      </c>
      <c r="N60" s="15">
        <f>+O60</f>
        <v>44927</v>
      </c>
      <c r="O60" s="183">
        <v>44927</v>
      </c>
      <c r="S60" s="10"/>
      <c r="V60" s="118"/>
    </row>
    <row r="61" spans="1:22" ht="15" x14ac:dyDescent="0.25">
      <c r="A61" s="182" t="s">
        <v>760</v>
      </c>
      <c r="B61" s="183">
        <v>44875</v>
      </c>
      <c r="C61" s="182" t="s">
        <v>761</v>
      </c>
      <c r="D61" s="184">
        <v>202.2</v>
      </c>
      <c r="E61" s="182" t="s">
        <v>581</v>
      </c>
      <c r="K61" s="2"/>
      <c r="L61" s="183">
        <v>44875</v>
      </c>
      <c r="N61" s="15">
        <f>+O61</f>
        <v>44936</v>
      </c>
      <c r="O61" s="183">
        <v>44936</v>
      </c>
      <c r="S61" s="10"/>
      <c r="V61" s="118"/>
    </row>
    <row r="62" spans="1:22" ht="15" x14ac:dyDescent="0.25">
      <c r="A62" s="182" t="s">
        <v>762</v>
      </c>
      <c r="B62" s="183">
        <v>44897</v>
      </c>
      <c r="C62" s="182" t="s">
        <v>763</v>
      </c>
      <c r="D62" s="186">
        <v>1354.66</v>
      </c>
      <c r="E62" s="182" t="s">
        <v>581</v>
      </c>
      <c r="K62" s="2"/>
      <c r="L62" s="183">
        <v>44897</v>
      </c>
      <c r="N62" s="15">
        <f>+O62</f>
        <v>44936</v>
      </c>
      <c r="O62" s="183">
        <v>44936</v>
      </c>
      <c r="S62" s="10"/>
      <c r="V62" s="118"/>
    </row>
    <row r="63" spans="1:22" x14ac:dyDescent="0.2">
      <c r="D63" s="8">
        <f>SUM(D8:D62)</f>
        <v>26281.94</v>
      </c>
    </row>
    <row r="67" spans="3:5" x14ac:dyDescent="0.2">
      <c r="C67" s="2">
        <v>7</v>
      </c>
      <c r="D67" s="8">
        <f>SUM(D8:D14)</f>
        <v>5110.57</v>
      </c>
      <c r="E67" s="2">
        <v>21</v>
      </c>
    </row>
    <row r="68" spans="3:5" x14ac:dyDescent="0.2">
      <c r="C68" s="2">
        <v>9</v>
      </c>
      <c r="D68" s="8">
        <f>SUM(D15:D23)</f>
        <v>1564.17</v>
      </c>
      <c r="E68" s="2">
        <v>22</v>
      </c>
    </row>
    <row r="69" spans="3:5" x14ac:dyDescent="0.2">
      <c r="C69" s="2">
        <v>36</v>
      </c>
      <c r="D69" s="8">
        <f>SUM(D24:D59)</f>
        <v>17667.399999999994</v>
      </c>
      <c r="E69" s="2">
        <v>29</v>
      </c>
    </row>
    <row r="70" spans="3:5" x14ac:dyDescent="0.2">
      <c r="C70" s="187">
        <v>3</v>
      </c>
      <c r="D70" s="188">
        <f>SUM(D60:D62)</f>
        <v>1939.8000000000002</v>
      </c>
      <c r="E70" s="2">
        <v>69</v>
      </c>
    </row>
    <row r="71" spans="3:5" x14ac:dyDescent="0.2">
      <c r="C71" s="2">
        <f>SUM(C67:C70)</f>
        <v>55</v>
      </c>
      <c r="D71" s="8">
        <f>SUM(D67:D70)</f>
        <v>26281.939999999991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Orria4">
    <tabColor indexed="42"/>
  </sheetPr>
  <dimension ref="A1:V56"/>
  <sheetViews>
    <sheetView zoomScaleNormal="100" workbookViewId="0">
      <pane ySplit="7" topLeftCell="A8" activePane="bottomLeft" state="frozen"/>
      <selection pane="bottomLeft" activeCell="P2" sqref="P2"/>
    </sheetView>
  </sheetViews>
  <sheetFormatPr defaultRowHeight="11.25" x14ac:dyDescent="0.2"/>
  <cols>
    <col min="1" max="1" width="16.7109375" style="2" customWidth="1"/>
    <col min="2" max="2" width="10.140625" style="15" bestFit="1" customWidth="1"/>
    <col min="3" max="3" width="9.140625" style="2"/>
    <col min="4" max="4" width="11.140625" style="8" customWidth="1"/>
    <col min="5" max="5" width="7.42578125" style="2" bestFit="1" customWidth="1"/>
    <col min="6" max="7" width="9.140625" style="2"/>
    <col min="8" max="8" width="7.42578125" style="2" customWidth="1"/>
    <col min="9" max="9" width="7" style="2" customWidth="1"/>
    <col min="10" max="10" width="17" style="2" bestFit="1" customWidth="1"/>
    <col min="11" max="11" width="10.7109375" style="15" bestFit="1" customWidth="1"/>
    <col min="12" max="12" width="9.140625" style="15"/>
    <col min="13" max="14" width="10.140625" style="15" bestFit="1" customWidth="1"/>
    <col min="15" max="15" width="9.140625" style="10"/>
    <col min="16" max="16" width="9.85546875" style="10" bestFit="1" customWidth="1"/>
    <col min="17" max="17" width="9.85546875" style="2" bestFit="1" customWidth="1"/>
    <col min="18" max="19" width="15.5703125" style="8" bestFit="1" customWidth="1"/>
    <col min="20" max="16384" width="9.140625" style="2"/>
  </cols>
  <sheetData>
    <row r="1" spans="1:22" x14ac:dyDescent="0.2">
      <c r="A1" s="3" t="s">
        <v>90</v>
      </c>
      <c r="B1" s="17"/>
      <c r="C1" s="4"/>
      <c r="D1" s="7"/>
      <c r="E1" s="4"/>
      <c r="F1" s="4"/>
      <c r="G1" s="4"/>
      <c r="K1" s="2"/>
      <c r="O1" s="10" t="s">
        <v>89</v>
      </c>
      <c r="P1" s="106">
        <v>44926</v>
      </c>
    </row>
    <row r="2" spans="1:22" x14ac:dyDescent="0.2">
      <c r="A2" s="3"/>
      <c r="B2" s="17"/>
      <c r="C2" s="4"/>
      <c r="D2" s="7"/>
      <c r="E2" s="4"/>
      <c r="F2" s="4"/>
      <c r="G2" s="4"/>
      <c r="I2" s="4"/>
      <c r="J2" s="4"/>
      <c r="K2" s="4"/>
      <c r="O2" s="15"/>
    </row>
    <row r="3" spans="1:22" x14ac:dyDescent="0.2">
      <c r="A3" s="3"/>
      <c r="B3" s="17"/>
      <c r="C3" s="4"/>
      <c r="D3" s="7"/>
      <c r="E3" s="4"/>
      <c r="F3" s="4"/>
      <c r="G3" s="4"/>
      <c r="K3" s="2"/>
      <c r="O3" s="15"/>
    </row>
    <row r="4" spans="1:22" x14ac:dyDescent="0.2">
      <c r="A4" s="3"/>
      <c r="B4" s="17"/>
      <c r="C4" s="4"/>
      <c r="D4" s="7"/>
      <c r="E4" s="4"/>
      <c r="F4" s="4"/>
      <c r="G4" s="4"/>
      <c r="H4" s="4"/>
      <c r="I4" s="4"/>
      <c r="J4" s="4"/>
      <c r="P4" s="15"/>
    </row>
    <row r="5" spans="1:22" x14ac:dyDescent="0.2">
      <c r="A5" s="3"/>
      <c r="B5" s="17"/>
      <c r="C5" s="4"/>
      <c r="D5" s="7"/>
      <c r="E5" s="4"/>
      <c r="F5" s="4"/>
      <c r="G5" s="4"/>
      <c r="H5" s="4"/>
      <c r="I5" s="4"/>
      <c r="J5" s="4"/>
      <c r="P5" s="15"/>
    </row>
    <row r="7" spans="1:22" ht="38.25" customHeight="1" x14ac:dyDescent="0.2">
      <c r="A7" s="5" t="s">
        <v>70</v>
      </c>
      <c r="B7" s="18" t="s">
        <v>71</v>
      </c>
      <c r="C7" s="6" t="s">
        <v>72</v>
      </c>
      <c r="D7" s="9" t="s">
        <v>57</v>
      </c>
      <c r="E7" s="5" t="s">
        <v>73</v>
      </c>
      <c r="F7" s="6" t="s">
        <v>74</v>
      </c>
      <c r="G7" s="6" t="s">
        <v>75</v>
      </c>
      <c r="H7" s="6" t="s">
        <v>8</v>
      </c>
      <c r="I7" s="6" t="s">
        <v>9</v>
      </c>
      <c r="J7" s="6" t="s">
        <v>7</v>
      </c>
      <c r="K7" s="16" t="s">
        <v>76</v>
      </c>
      <c r="L7" s="16" t="s">
        <v>77</v>
      </c>
      <c r="M7" s="16" t="s">
        <v>78</v>
      </c>
      <c r="N7" s="16" t="s">
        <v>79</v>
      </c>
      <c r="O7" s="12" t="s">
        <v>88</v>
      </c>
      <c r="P7" s="14" t="s">
        <v>56</v>
      </c>
      <c r="Q7" s="2" t="s">
        <v>10</v>
      </c>
      <c r="R7" s="8" t="s">
        <v>84</v>
      </c>
      <c r="S7" s="8" t="s">
        <v>85</v>
      </c>
      <c r="T7" s="2" t="s">
        <v>86</v>
      </c>
    </row>
    <row r="8" spans="1:22" customFormat="1" ht="12.75" x14ac:dyDescent="0.2">
      <c r="A8" s="113"/>
      <c r="B8" s="114"/>
      <c r="C8" s="113"/>
      <c r="D8" s="116"/>
      <c r="K8" s="114"/>
      <c r="L8" s="115"/>
      <c r="M8" s="115"/>
      <c r="N8" s="114"/>
      <c r="O8" s="117"/>
      <c r="P8" s="117"/>
      <c r="Q8" s="117"/>
      <c r="R8" s="117"/>
      <c r="T8" s="116"/>
      <c r="U8" s="116"/>
      <c r="V8" s="105"/>
    </row>
    <row r="9" spans="1:22" ht="12.75" x14ac:dyDescent="0.2">
      <c r="A9" s="113"/>
      <c r="B9" s="114"/>
      <c r="C9" s="113"/>
      <c r="D9"/>
      <c r="K9" s="114"/>
      <c r="N9" s="114"/>
      <c r="Q9" s="10"/>
      <c r="R9" s="10"/>
      <c r="S9"/>
      <c r="T9" s="8"/>
      <c r="U9" s="8"/>
      <c r="V9" s="105"/>
    </row>
    <row r="10" spans="1:22" ht="12.75" x14ac:dyDescent="0.2">
      <c r="A10" s="113"/>
      <c r="B10" s="114"/>
      <c r="C10" s="113"/>
      <c r="D10"/>
      <c r="K10" s="114"/>
      <c r="N10" s="114"/>
      <c r="Q10" s="10"/>
      <c r="R10" s="10"/>
      <c r="S10"/>
      <c r="T10" s="8"/>
      <c r="U10" s="8"/>
      <c r="V10" s="105"/>
    </row>
    <row r="11" spans="1:22" ht="12.75" x14ac:dyDescent="0.2">
      <c r="A11" s="113"/>
      <c r="B11" s="114"/>
      <c r="C11" s="113"/>
      <c r="D11"/>
      <c r="K11" s="114"/>
      <c r="N11" s="114"/>
      <c r="Q11" s="10"/>
      <c r="R11" s="10"/>
      <c r="S11"/>
      <c r="T11" s="8"/>
      <c r="U11" s="8"/>
      <c r="V11" s="105"/>
    </row>
    <row r="12" spans="1:22" ht="12.75" x14ac:dyDescent="0.2">
      <c r="A12" s="113"/>
      <c r="B12" s="114"/>
      <c r="C12" s="113"/>
      <c r="D12"/>
      <c r="K12" s="114"/>
      <c r="N12" s="114"/>
      <c r="Q12" s="10"/>
      <c r="R12" s="10"/>
      <c r="S12"/>
      <c r="T12" s="8"/>
      <c r="U12" s="8"/>
      <c r="V12" s="105"/>
    </row>
    <row r="13" spans="1:22" ht="12.75" x14ac:dyDescent="0.2">
      <c r="A13" s="113"/>
      <c r="B13" s="114"/>
      <c r="C13" s="113"/>
      <c r="D13"/>
      <c r="K13" s="114"/>
      <c r="N13" s="114"/>
      <c r="Q13" s="10"/>
      <c r="R13" s="10"/>
      <c r="S13"/>
      <c r="T13" s="8"/>
      <c r="U13" s="8"/>
      <c r="V13" s="105"/>
    </row>
    <row r="14" spans="1:22" ht="12.75" x14ac:dyDescent="0.2">
      <c r="A14" s="113"/>
      <c r="B14" s="114"/>
      <c r="C14" s="113"/>
      <c r="D14"/>
      <c r="K14" s="114"/>
      <c r="N14" s="114"/>
      <c r="Q14" s="10"/>
      <c r="R14" s="10"/>
      <c r="S14" s="2"/>
      <c r="T14" s="8"/>
      <c r="U14" s="8"/>
      <c r="V14" s="105"/>
    </row>
    <row r="15" spans="1:22" ht="12.75" x14ac:dyDescent="0.2">
      <c r="A15" s="113"/>
      <c r="B15" s="114"/>
      <c r="C15" s="113"/>
      <c r="D15"/>
      <c r="K15" s="114"/>
      <c r="N15" s="114"/>
      <c r="Q15" s="10"/>
      <c r="R15" s="10"/>
      <c r="S15" s="2"/>
      <c r="T15" s="8"/>
      <c r="U15" s="8"/>
      <c r="V15" s="105"/>
    </row>
    <row r="16" spans="1:22" ht="12.75" x14ac:dyDescent="0.2">
      <c r="A16" s="113"/>
      <c r="B16" s="114"/>
      <c r="C16" s="113"/>
      <c r="D16"/>
      <c r="K16" s="114"/>
      <c r="N16" s="114"/>
      <c r="Q16" s="10"/>
      <c r="R16" s="10"/>
      <c r="S16" s="2"/>
      <c r="T16" s="8"/>
      <c r="U16" s="8"/>
      <c r="V16" s="105"/>
    </row>
    <row r="17" spans="1:22" ht="12.75" x14ac:dyDescent="0.2">
      <c r="A17" s="113"/>
      <c r="B17" s="114"/>
      <c r="C17" s="113"/>
      <c r="D17"/>
      <c r="K17" s="114"/>
      <c r="N17" s="114"/>
      <c r="Q17" s="10"/>
      <c r="R17" s="10"/>
      <c r="S17" s="2"/>
      <c r="T17" s="8"/>
      <c r="U17" s="8"/>
      <c r="V17" s="105"/>
    </row>
    <row r="18" spans="1:22" ht="12.75" x14ac:dyDescent="0.2">
      <c r="A18" s="113"/>
      <c r="B18" s="114"/>
      <c r="C18" s="113"/>
      <c r="D18"/>
      <c r="K18" s="114"/>
      <c r="N18" s="114"/>
      <c r="Q18" s="10"/>
      <c r="R18" s="10"/>
      <c r="S18" s="2"/>
      <c r="T18" s="8"/>
      <c r="U18" s="8"/>
      <c r="V18" s="105"/>
    </row>
    <row r="19" spans="1:22" ht="12.75" x14ac:dyDescent="0.2">
      <c r="A19" s="113"/>
      <c r="B19" s="114"/>
      <c r="C19" s="113"/>
      <c r="D19"/>
      <c r="K19" s="114"/>
      <c r="N19" s="114"/>
      <c r="Q19" s="10"/>
      <c r="R19" s="10"/>
      <c r="S19" s="2"/>
      <c r="T19" s="8"/>
      <c r="U19" s="8"/>
      <c r="V19" s="105"/>
    </row>
    <row r="20" spans="1:22" ht="12.75" x14ac:dyDescent="0.2">
      <c r="A20" s="113"/>
      <c r="B20" s="114"/>
      <c r="C20" s="113"/>
      <c r="D20"/>
      <c r="K20" s="114"/>
      <c r="N20" s="114"/>
      <c r="Q20" s="10"/>
      <c r="R20" s="10"/>
      <c r="S20" s="2"/>
      <c r="T20" s="8"/>
      <c r="U20" s="8"/>
      <c r="V20" s="105"/>
    </row>
    <row r="21" spans="1:22" ht="12.75" x14ac:dyDescent="0.2">
      <c r="A21" s="113"/>
      <c r="B21" s="114"/>
      <c r="C21" s="113"/>
      <c r="D21"/>
      <c r="K21" s="114"/>
      <c r="N21" s="114"/>
      <c r="Q21" s="10"/>
      <c r="R21" s="10"/>
      <c r="S21" s="2"/>
      <c r="T21" s="8"/>
      <c r="U21" s="8"/>
      <c r="V21" s="105"/>
    </row>
    <row r="22" spans="1:22" ht="12.75" x14ac:dyDescent="0.2">
      <c r="A22" s="113"/>
      <c r="B22" s="114"/>
      <c r="C22" s="113"/>
      <c r="D22"/>
      <c r="K22" s="114"/>
      <c r="N22" s="114"/>
      <c r="Q22" s="10"/>
      <c r="R22" s="10"/>
      <c r="S22" s="2"/>
      <c r="T22" s="8"/>
      <c r="U22" s="8"/>
      <c r="V22" s="105"/>
    </row>
    <row r="23" spans="1:22" ht="12.75" x14ac:dyDescent="0.2">
      <c r="A23" s="113"/>
      <c r="B23" s="114"/>
      <c r="C23" s="113"/>
      <c r="D23"/>
      <c r="K23" s="114"/>
      <c r="N23" s="114"/>
      <c r="Q23" s="10"/>
      <c r="R23" s="10"/>
      <c r="S23" s="2"/>
      <c r="T23" s="8"/>
      <c r="U23" s="8"/>
      <c r="V23" s="105"/>
    </row>
    <row r="24" spans="1:22" ht="12.75" x14ac:dyDescent="0.2">
      <c r="A24" s="113"/>
      <c r="B24" s="114"/>
      <c r="C24" s="113"/>
      <c r="D24"/>
      <c r="K24" s="114"/>
      <c r="N24" s="114"/>
      <c r="Q24" s="10"/>
      <c r="R24" s="10"/>
      <c r="S24" s="2"/>
      <c r="T24" s="8"/>
      <c r="U24" s="8"/>
      <c r="V24" s="105"/>
    </row>
    <row r="25" spans="1:22" ht="12.75" x14ac:dyDescent="0.2">
      <c r="A25" s="113"/>
      <c r="B25" s="114"/>
      <c r="C25" s="113"/>
      <c r="D25"/>
      <c r="K25" s="114"/>
      <c r="N25" s="114"/>
      <c r="Q25" s="10"/>
      <c r="R25" s="10"/>
      <c r="S25" s="2"/>
      <c r="T25" s="8"/>
      <c r="U25" s="8"/>
      <c r="V25" s="105"/>
    </row>
    <row r="26" spans="1:22" ht="12.75" x14ac:dyDescent="0.2">
      <c r="A26" s="113"/>
      <c r="B26" s="114"/>
      <c r="C26" s="113"/>
      <c r="D26"/>
      <c r="K26" s="114"/>
      <c r="N26" s="114"/>
      <c r="Q26" s="10"/>
      <c r="R26" s="10"/>
      <c r="S26" s="2"/>
      <c r="T26" s="8"/>
      <c r="U26" s="8"/>
      <c r="V26" s="105"/>
    </row>
    <row r="27" spans="1:22" ht="12.75" x14ac:dyDescent="0.2">
      <c r="A27" s="113"/>
      <c r="B27" s="114"/>
      <c r="C27" s="113"/>
      <c r="D27"/>
      <c r="K27" s="114"/>
      <c r="N27" s="114"/>
      <c r="Q27" s="10"/>
      <c r="R27" s="10"/>
      <c r="S27" s="2"/>
      <c r="T27" s="8"/>
      <c r="U27" s="8"/>
      <c r="V27" s="105"/>
    </row>
    <row r="28" spans="1:22" ht="12.75" x14ac:dyDescent="0.2">
      <c r="A28" s="113"/>
      <c r="B28" s="114"/>
      <c r="C28" s="113"/>
      <c r="D28"/>
      <c r="K28" s="114"/>
      <c r="N28" s="114"/>
      <c r="Q28" s="10"/>
      <c r="R28" s="10"/>
      <c r="S28" s="2"/>
      <c r="T28" s="8"/>
      <c r="U28" s="8"/>
      <c r="V28" s="105"/>
    </row>
    <row r="29" spans="1:22" ht="12.75" x14ac:dyDescent="0.2">
      <c r="A29" s="113"/>
      <c r="B29" s="114"/>
      <c r="C29" s="113"/>
      <c r="D29"/>
      <c r="K29" s="114"/>
      <c r="N29" s="114"/>
      <c r="Q29" s="10"/>
      <c r="R29" s="10"/>
      <c r="S29" s="2"/>
      <c r="T29" s="8"/>
      <c r="U29" s="8"/>
      <c r="V29" s="105"/>
    </row>
    <row r="30" spans="1:22" ht="12.75" x14ac:dyDescent="0.2">
      <c r="A30" s="113"/>
      <c r="B30" s="114"/>
      <c r="C30" s="113"/>
      <c r="D30"/>
      <c r="K30" s="114"/>
      <c r="N30" s="114"/>
      <c r="Q30" s="10"/>
      <c r="R30" s="10"/>
      <c r="S30" s="2"/>
      <c r="T30" s="8"/>
      <c r="U30" s="8"/>
      <c r="V30" s="105"/>
    </row>
    <row r="31" spans="1:22" ht="12.75" x14ac:dyDescent="0.2">
      <c r="A31" s="113"/>
      <c r="B31" s="114"/>
      <c r="C31" s="113"/>
      <c r="D31"/>
      <c r="K31" s="114"/>
      <c r="N31" s="114"/>
      <c r="Q31" s="10"/>
      <c r="R31" s="10"/>
      <c r="S31" s="2"/>
      <c r="T31" s="8"/>
      <c r="U31" s="8"/>
      <c r="V31" s="105"/>
    </row>
    <row r="32" spans="1:22" ht="12.75" x14ac:dyDescent="0.2">
      <c r="A32" s="113"/>
      <c r="B32" s="114"/>
      <c r="C32" s="113"/>
      <c r="D32"/>
      <c r="K32" s="114"/>
      <c r="N32" s="114"/>
      <c r="Q32" s="10"/>
      <c r="R32" s="10"/>
      <c r="S32" s="2"/>
      <c r="T32" s="8"/>
      <c r="U32" s="8"/>
      <c r="V32" s="105"/>
    </row>
    <row r="33" spans="1:22" ht="12.75" x14ac:dyDescent="0.2">
      <c r="A33" s="113"/>
      <c r="B33" s="114"/>
      <c r="C33" s="113"/>
      <c r="D33"/>
      <c r="K33" s="114"/>
      <c r="N33" s="114"/>
      <c r="Q33" s="10"/>
      <c r="R33" s="10"/>
      <c r="S33" s="2"/>
      <c r="T33" s="8"/>
      <c r="U33" s="8"/>
      <c r="V33" s="105"/>
    </row>
    <row r="34" spans="1:22" ht="12.75" x14ac:dyDescent="0.2">
      <c r="A34" s="113"/>
      <c r="B34" s="114"/>
      <c r="C34" s="113"/>
      <c r="D34"/>
      <c r="K34" s="114"/>
      <c r="N34" s="114"/>
      <c r="Q34" s="10"/>
      <c r="R34" s="10"/>
      <c r="S34" s="2"/>
      <c r="T34" s="8"/>
      <c r="U34" s="8"/>
      <c r="V34" s="105"/>
    </row>
    <row r="35" spans="1:22" ht="12.75" x14ac:dyDescent="0.2">
      <c r="A35" s="113"/>
      <c r="B35" s="114"/>
      <c r="C35" s="113"/>
      <c r="D35"/>
      <c r="K35" s="114"/>
      <c r="N35" s="114"/>
      <c r="Q35" s="10"/>
      <c r="R35" s="10"/>
      <c r="S35" s="2"/>
      <c r="T35" s="8"/>
      <c r="U35" s="8"/>
      <c r="V35" s="105"/>
    </row>
    <row r="36" spans="1:22" ht="15" x14ac:dyDescent="0.25">
      <c r="A36" s="113"/>
      <c r="B36" s="114"/>
      <c r="C36" s="113"/>
      <c r="D36"/>
      <c r="K36" s="114"/>
      <c r="M36" s="110"/>
      <c r="N36" s="114"/>
      <c r="Q36" s="10"/>
      <c r="R36" s="10"/>
      <c r="S36" s="2"/>
      <c r="T36" s="8"/>
      <c r="U36" s="8"/>
      <c r="V36" s="105"/>
    </row>
    <row r="37" spans="1:22" ht="15" x14ac:dyDescent="0.25">
      <c r="A37" s="113"/>
      <c r="B37" s="114"/>
      <c r="C37" s="113"/>
      <c r="D37"/>
      <c r="K37" s="114"/>
      <c r="M37" s="110"/>
      <c r="N37" s="114"/>
      <c r="Q37" s="10"/>
      <c r="R37" s="10"/>
      <c r="S37" s="2"/>
      <c r="T37" s="8"/>
      <c r="U37" s="8"/>
      <c r="V37" s="105"/>
    </row>
    <row r="38" spans="1:22" ht="15" x14ac:dyDescent="0.25">
      <c r="A38" s="113"/>
      <c r="B38" s="114"/>
      <c r="C38" s="113"/>
      <c r="D38"/>
      <c r="K38" s="114"/>
      <c r="M38" s="110"/>
      <c r="N38" s="114"/>
      <c r="Q38" s="10"/>
      <c r="R38" s="10"/>
      <c r="S38" s="2"/>
      <c r="T38" s="8"/>
      <c r="U38" s="8"/>
      <c r="V38" s="105"/>
    </row>
    <row r="39" spans="1:22" ht="15" x14ac:dyDescent="0.25">
      <c r="A39" s="113"/>
      <c r="B39" s="114"/>
      <c r="C39" s="113"/>
      <c r="D39"/>
      <c r="K39" s="114"/>
      <c r="M39" s="110"/>
      <c r="N39" s="114"/>
      <c r="Q39" s="10"/>
      <c r="R39" s="10"/>
      <c r="S39" s="2"/>
      <c r="T39" s="8"/>
      <c r="U39" s="8"/>
      <c r="V39" s="105"/>
    </row>
    <row r="40" spans="1:22" ht="15" x14ac:dyDescent="0.25">
      <c r="A40" s="113"/>
      <c r="B40" s="114"/>
      <c r="C40" s="113"/>
      <c r="D40"/>
      <c r="K40" s="114"/>
      <c r="M40" s="110"/>
      <c r="N40" s="114"/>
      <c r="Q40" s="10"/>
      <c r="R40" s="10"/>
      <c r="S40" s="2"/>
      <c r="T40" s="8"/>
      <c r="U40" s="8"/>
      <c r="V40" s="105"/>
    </row>
    <row r="41" spans="1:22" x14ac:dyDescent="0.2">
      <c r="Q41" s="10"/>
      <c r="R41" s="10"/>
      <c r="S41" s="2"/>
      <c r="T41" s="8"/>
      <c r="U41" s="8"/>
    </row>
    <row r="42" spans="1:22" x14ac:dyDescent="0.2">
      <c r="Q42" s="10"/>
      <c r="R42" s="10"/>
      <c r="S42" s="2"/>
      <c r="T42" s="8"/>
      <c r="U42" s="8"/>
    </row>
    <row r="43" spans="1:22" ht="15" x14ac:dyDescent="0.25">
      <c r="A43" s="107"/>
      <c r="B43" s="108"/>
      <c r="C43" s="107"/>
      <c r="D43" s="112"/>
      <c r="F43" s="107"/>
      <c r="K43" s="108"/>
      <c r="M43" s="110"/>
      <c r="N43" s="110"/>
      <c r="Q43" s="10"/>
      <c r="R43" s="10"/>
      <c r="S43" s="2"/>
      <c r="T43" s="8"/>
    </row>
    <row r="44" spans="1:22" ht="15" x14ac:dyDescent="0.25">
      <c r="A44" s="107"/>
      <c r="B44" s="108"/>
      <c r="C44" s="107"/>
      <c r="D44" s="112"/>
      <c r="F44" s="107"/>
      <c r="K44" s="108"/>
      <c r="M44" s="110"/>
      <c r="N44" s="110"/>
      <c r="Q44" s="10"/>
      <c r="R44" s="10"/>
      <c r="S44" s="2"/>
      <c r="T44" s="8"/>
      <c r="U44" s="8"/>
    </row>
    <row r="45" spans="1:22" ht="15" x14ac:dyDescent="0.25">
      <c r="A45" s="107"/>
      <c r="B45" s="108"/>
      <c r="C45" s="107"/>
      <c r="D45" s="112"/>
      <c r="F45" s="107"/>
      <c r="K45" s="108"/>
      <c r="M45" s="110"/>
      <c r="N45" s="110"/>
      <c r="Q45" s="10"/>
      <c r="R45" s="10"/>
      <c r="S45" s="2"/>
      <c r="T45" s="8"/>
      <c r="U45" s="8"/>
    </row>
    <row r="46" spans="1:22" ht="15" x14ac:dyDescent="0.25">
      <c r="A46" s="107"/>
      <c r="B46" s="108"/>
      <c r="C46" s="107"/>
      <c r="D46" s="112"/>
      <c r="F46" s="107"/>
      <c r="K46" s="108"/>
      <c r="M46" s="110"/>
      <c r="N46" s="108"/>
      <c r="Q46" s="10"/>
      <c r="R46" s="10"/>
      <c r="S46" s="2"/>
      <c r="T46" s="8"/>
      <c r="U46" s="8"/>
    </row>
    <row r="47" spans="1:22" ht="15" x14ac:dyDescent="0.25">
      <c r="A47" s="107"/>
      <c r="B47" s="108"/>
      <c r="C47" s="107"/>
      <c r="D47" s="109"/>
      <c r="F47" s="107"/>
      <c r="K47" s="108"/>
      <c r="M47" s="110"/>
      <c r="N47" s="108"/>
      <c r="Q47" s="10"/>
      <c r="R47" s="10"/>
      <c r="S47" s="2"/>
      <c r="T47" s="8"/>
      <c r="U47" s="8"/>
    </row>
    <row r="48" spans="1:22" ht="15" x14ac:dyDescent="0.25">
      <c r="A48" s="107"/>
      <c r="B48" s="108"/>
      <c r="C48" s="107"/>
      <c r="D48" s="109"/>
      <c r="F48" s="107"/>
      <c r="K48" s="108"/>
      <c r="M48" s="110"/>
      <c r="N48" s="108"/>
      <c r="Q48" s="10"/>
      <c r="R48" s="10"/>
      <c r="S48" s="2"/>
      <c r="T48" s="8"/>
      <c r="U48" s="8"/>
    </row>
    <row r="49" spans="1:21" ht="15" x14ac:dyDescent="0.25">
      <c r="A49" s="107"/>
      <c r="B49" s="108"/>
      <c r="C49" s="107"/>
      <c r="D49" s="109"/>
      <c r="F49" s="107"/>
      <c r="K49" s="108"/>
      <c r="M49" s="110"/>
      <c r="N49" s="108"/>
      <c r="Q49" s="10"/>
      <c r="R49" s="10"/>
      <c r="S49" s="2"/>
      <c r="T49" s="8"/>
      <c r="U49" s="8"/>
    </row>
    <row r="50" spans="1:21" ht="15" x14ac:dyDescent="0.25">
      <c r="A50" s="107"/>
      <c r="B50" s="108"/>
      <c r="C50" s="107"/>
      <c r="D50" s="109"/>
      <c r="F50" s="107"/>
      <c r="K50" s="108"/>
      <c r="M50" s="110"/>
      <c r="N50" s="108"/>
      <c r="Q50" s="10"/>
      <c r="R50" s="10"/>
      <c r="S50" s="2"/>
      <c r="T50" s="8"/>
      <c r="U50" s="8"/>
    </row>
    <row r="51" spans="1:21" ht="15" x14ac:dyDescent="0.25">
      <c r="A51" s="107"/>
      <c r="B51" s="108"/>
      <c r="C51" s="107"/>
      <c r="D51" s="109"/>
      <c r="F51" s="107"/>
      <c r="K51" s="108"/>
      <c r="M51" s="110"/>
      <c r="N51" s="108"/>
      <c r="Q51" s="10"/>
      <c r="R51" s="10"/>
      <c r="S51" s="2"/>
      <c r="T51" s="8"/>
      <c r="U51" s="8"/>
    </row>
    <row r="52" spans="1:21" ht="15" x14ac:dyDescent="0.25">
      <c r="A52" s="107"/>
      <c r="B52" s="108"/>
      <c r="C52" s="107"/>
      <c r="D52" s="109"/>
      <c r="F52" s="107"/>
      <c r="K52" s="108"/>
      <c r="M52" s="110"/>
      <c r="N52" s="108"/>
      <c r="Q52" s="10"/>
      <c r="R52" s="10"/>
      <c r="S52" s="2"/>
      <c r="T52" s="8"/>
      <c r="U52" s="8"/>
    </row>
    <row r="53" spans="1:21" ht="15" x14ac:dyDescent="0.25">
      <c r="A53" s="107"/>
      <c r="B53" s="108"/>
      <c r="C53" s="107"/>
      <c r="D53" s="109"/>
      <c r="F53" s="107"/>
      <c r="K53" s="108"/>
      <c r="M53" s="110"/>
      <c r="N53" s="108"/>
      <c r="Q53" s="10"/>
      <c r="R53" s="10"/>
      <c r="S53" s="2"/>
      <c r="T53" s="8"/>
      <c r="U53" s="8"/>
    </row>
    <row r="54" spans="1:21" ht="15" x14ac:dyDescent="0.25">
      <c r="A54" s="107"/>
      <c r="B54" s="108"/>
      <c r="C54" s="107"/>
      <c r="D54" s="109"/>
      <c r="F54" s="107"/>
      <c r="K54" s="108"/>
      <c r="M54" s="110"/>
      <c r="N54" s="108"/>
      <c r="Q54" s="10"/>
      <c r="R54" s="10"/>
      <c r="S54" s="2"/>
      <c r="T54" s="8"/>
      <c r="U54" s="8"/>
    </row>
    <row r="55" spans="1:21" ht="15" x14ac:dyDescent="0.25">
      <c r="A55" s="107"/>
      <c r="B55" s="108"/>
      <c r="C55" s="107"/>
      <c r="D55" s="109"/>
      <c r="F55" s="107"/>
      <c r="K55" s="108"/>
      <c r="M55" s="110"/>
      <c r="N55" s="108"/>
      <c r="Q55" s="10"/>
      <c r="R55" s="10"/>
      <c r="S55" s="2"/>
      <c r="T55" s="8"/>
      <c r="U55" s="8"/>
    </row>
    <row r="56" spans="1:21" ht="15" x14ac:dyDescent="0.25">
      <c r="A56" s="107"/>
      <c r="B56" s="108"/>
      <c r="C56" s="107"/>
      <c r="D56" s="109"/>
      <c r="F56" s="107"/>
      <c r="K56" s="108"/>
      <c r="M56" s="110"/>
      <c r="N56" s="108"/>
      <c r="Q56" s="10"/>
      <c r="R56" s="10"/>
      <c r="S56" s="2"/>
      <c r="T56" s="8"/>
      <c r="U56" s="8"/>
    </row>
  </sheetData>
  <phoneticPr fontId="4" type="noConversion"/>
  <pageMargins left="0.75" right="0.75" top="1" bottom="1" header="0.4921259845" footer="0.4921259845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4</vt:i4>
      </vt:variant>
      <vt:variant>
        <vt:lpstr>Barruti izendunak</vt:lpstr>
      </vt:variant>
      <vt:variant>
        <vt:i4>3</vt:i4>
      </vt:variant>
    </vt:vector>
  </HeadingPairs>
  <TitlesOfParts>
    <vt:vector size="7" baseType="lpstr">
      <vt:lpstr>INFORME</vt:lpstr>
      <vt:lpstr>detalle1</vt:lpstr>
      <vt:lpstr>detalle2</vt:lpstr>
      <vt:lpstr>detalle32</vt:lpstr>
      <vt:lpstr>detalle1!Inprimatzeko_area</vt:lpstr>
      <vt:lpstr>detalle2!Inprimatzeko_area</vt:lpstr>
      <vt:lpstr>detalle32!Inprimatzeko_area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Ruiz</dc:creator>
  <cp:lastModifiedBy>Natalia Ruiz</cp:lastModifiedBy>
  <cp:lastPrinted>2014-12-11T08:00:00Z</cp:lastPrinted>
  <dcterms:created xsi:type="dcterms:W3CDTF">2013-12-21T08:23:27Z</dcterms:created>
  <dcterms:modified xsi:type="dcterms:W3CDTF">2023-01-20T10:39:59Z</dcterms:modified>
</cp:coreProperties>
</file>