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XCEL\Contabilidad\Contabilidad\BERANKORTASUNA\2023\OARSOALDEA\1go HIRUHILEKOA\"/>
    </mc:Choice>
  </mc:AlternateContent>
  <xr:revisionPtr revIDLastSave="0" documentId="13_ncr:1_{0F405E92-5C2C-4E72-BD52-86F46CC8447B}" xr6:coauthVersionLast="47" xr6:coauthVersionMax="47" xr10:uidLastSave="{00000000-0000-0000-0000-000000000000}"/>
  <bookViews>
    <workbookView xWindow="-120" yWindow="-120" windowWidth="19440" windowHeight="11520" tabRatio="566" xr2:uid="{00000000-000D-0000-FFFF-FFFF00000000}"/>
  </bookViews>
  <sheets>
    <sheet name="INFORME" sheetId="5" r:id="rId1"/>
    <sheet name="detalle1" sheetId="2" r:id="rId2"/>
    <sheet name="detalle2" sheetId="3" r:id="rId3"/>
    <sheet name="detalle32" sheetId="4" r:id="rId4"/>
  </sheets>
  <externalReferences>
    <externalReference r:id="rId5"/>
  </externalReferences>
  <definedNames>
    <definedName name="_xlnm.Print_Area" localSheetId="1">detalle1!$A$1:$R$6</definedName>
    <definedName name="_xlnm.Print_Area" localSheetId="2">detalle2!$A$1:$R$7</definedName>
    <definedName name="_xlnm.Print_Area" localSheetId="3">detalle32!$A$1:$P$7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3" l="1"/>
  <c r="G74" i="3"/>
  <c r="G73" i="3"/>
  <c r="G72" i="3"/>
  <c r="G76" i="3" s="1"/>
  <c r="D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F233" i="2"/>
  <c r="D232" i="2"/>
  <c r="D231" i="2"/>
  <c r="D230" i="2"/>
  <c r="D229" i="2"/>
  <c r="D228" i="2"/>
  <c r="D233" i="2" s="1"/>
  <c r="D224" i="2"/>
  <c r="R223" i="2"/>
  <c r="S223" i="2" s="1"/>
  <c r="Q223" i="2"/>
  <c r="P223" i="2"/>
  <c r="N223" i="2"/>
  <c r="L223" i="2"/>
  <c r="R222" i="2"/>
  <c r="S222" i="2" s="1"/>
  <c r="N222" i="2"/>
  <c r="Q222" i="2" s="1"/>
  <c r="L222" i="2"/>
  <c r="P222" i="2" s="1"/>
  <c r="R221" i="2"/>
  <c r="S221" i="2" s="1"/>
  <c r="Q221" i="2"/>
  <c r="P221" i="2"/>
  <c r="N221" i="2"/>
  <c r="L221" i="2"/>
  <c r="R220" i="2"/>
  <c r="S220" i="2" s="1"/>
  <c r="N220" i="2"/>
  <c r="Q220" i="2" s="1"/>
  <c r="L220" i="2"/>
  <c r="P220" i="2" s="1"/>
  <c r="R219" i="2"/>
  <c r="S219" i="2" s="1"/>
  <c r="Q219" i="2"/>
  <c r="P219" i="2"/>
  <c r="N219" i="2"/>
  <c r="L219" i="2"/>
  <c r="R218" i="2"/>
  <c r="S218" i="2" s="1"/>
  <c r="N218" i="2"/>
  <c r="Q218" i="2" s="1"/>
  <c r="L218" i="2"/>
  <c r="P218" i="2" s="1"/>
  <c r="R217" i="2"/>
  <c r="S217" i="2" s="1"/>
  <c r="Q217" i="2"/>
  <c r="P217" i="2"/>
  <c r="N217" i="2"/>
  <c r="L217" i="2"/>
  <c r="R216" i="2"/>
  <c r="S216" i="2" s="1"/>
  <c r="N216" i="2"/>
  <c r="Q216" i="2" s="1"/>
  <c r="L216" i="2"/>
  <c r="P216" i="2" s="1"/>
  <c r="R215" i="2"/>
  <c r="S215" i="2" s="1"/>
  <c r="Q215" i="2"/>
  <c r="P215" i="2"/>
  <c r="N215" i="2"/>
  <c r="L215" i="2"/>
  <c r="R214" i="2"/>
  <c r="S214" i="2" s="1"/>
  <c r="N214" i="2"/>
  <c r="Q214" i="2" s="1"/>
  <c r="L214" i="2"/>
  <c r="P214" i="2" s="1"/>
  <c r="R213" i="2"/>
  <c r="S213" i="2" s="1"/>
  <c r="Q213" i="2"/>
  <c r="P213" i="2"/>
  <c r="N213" i="2"/>
  <c r="L213" i="2"/>
  <c r="R212" i="2"/>
  <c r="S212" i="2" s="1"/>
  <c r="N212" i="2"/>
  <c r="Q212" i="2" s="1"/>
  <c r="L212" i="2"/>
  <c r="P212" i="2" s="1"/>
  <c r="R211" i="2"/>
  <c r="S211" i="2" s="1"/>
  <c r="Q211" i="2"/>
  <c r="P211" i="2"/>
  <c r="N211" i="2"/>
  <c r="L211" i="2"/>
  <c r="R210" i="2"/>
  <c r="S210" i="2" s="1"/>
  <c r="N210" i="2"/>
  <c r="Q210" i="2" s="1"/>
  <c r="L210" i="2"/>
  <c r="P210" i="2" s="1"/>
  <c r="R209" i="2"/>
  <c r="S209" i="2" s="1"/>
  <c r="Q209" i="2"/>
  <c r="P209" i="2"/>
  <c r="N209" i="2"/>
  <c r="L209" i="2"/>
  <c r="R208" i="2"/>
  <c r="S208" i="2" s="1"/>
  <c r="N208" i="2"/>
  <c r="Q208" i="2" s="1"/>
  <c r="L208" i="2"/>
  <c r="P208" i="2" s="1"/>
  <c r="R207" i="2"/>
  <c r="S207" i="2" s="1"/>
  <c r="Q207" i="2"/>
  <c r="P207" i="2"/>
  <c r="N207" i="2"/>
  <c r="L207" i="2"/>
  <c r="R206" i="2"/>
  <c r="S206" i="2" s="1"/>
  <c r="N206" i="2"/>
  <c r="Q206" i="2" s="1"/>
  <c r="L206" i="2"/>
  <c r="P206" i="2" s="1"/>
  <c r="R205" i="2"/>
  <c r="S205" i="2" s="1"/>
  <c r="Q205" i="2"/>
  <c r="P205" i="2"/>
  <c r="N205" i="2"/>
  <c r="L205" i="2"/>
  <c r="R204" i="2"/>
  <c r="S204" i="2" s="1"/>
  <c r="N204" i="2"/>
  <c r="Q204" i="2" s="1"/>
  <c r="L204" i="2"/>
  <c r="P204" i="2" s="1"/>
  <c r="R203" i="2"/>
  <c r="S203" i="2" s="1"/>
  <c r="Q203" i="2"/>
  <c r="P203" i="2"/>
  <c r="N203" i="2"/>
  <c r="L203" i="2"/>
  <c r="R202" i="2"/>
  <c r="S202" i="2" s="1"/>
  <c r="N202" i="2"/>
  <c r="Q202" i="2" s="1"/>
  <c r="L202" i="2"/>
  <c r="P202" i="2" s="1"/>
  <c r="R201" i="2"/>
  <c r="S201" i="2" s="1"/>
  <c r="Q201" i="2"/>
  <c r="P201" i="2"/>
  <c r="N201" i="2"/>
  <c r="L201" i="2"/>
  <c r="R200" i="2"/>
  <c r="S200" i="2" s="1"/>
  <c r="N200" i="2"/>
  <c r="Q200" i="2" s="1"/>
  <c r="L200" i="2"/>
  <c r="P200" i="2" s="1"/>
  <c r="R199" i="2"/>
  <c r="S199" i="2" s="1"/>
  <c r="Q199" i="2"/>
  <c r="P199" i="2"/>
  <c r="N199" i="2"/>
  <c r="L199" i="2"/>
  <c r="R198" i="2"/>
  <c r="S198" i="2" s="1"/>
  <c r="N198" i="2"/>
  <c r="Q198" i="2" s="1"/>
  <c r="L198" i="2"/>
  <c r="P198" i="2" s="1"/>
  <c r="R197" i="2"/>
  <c r="S197" i="2" s="1"/>
  <c r="Q197" i="2"/>
  <c r="P197" i="2"/>
  <c r="N197" i="2"/>
  <c r="L197" i="2"/>
  <c r="R196" i="2"/>
  <c r="S196" i="2" s="1"/>
  <c r="Q196" i="2"/>
  <c r="N196" i="2"/>
  <c r="L196" i="2"/>
  <c r="P196" i="2" s="1"/>
  <c r="R195" i="2"/>
  <c r="S195" i="2" s="1"/>
  <c r="Q195" i="2"/>
  <c r="P195" i="2"/>
  <c r="N195" i="2"/>
  <c r="L195" i="2"/>
  <c r="R194" i="2"/>
  <c r="S194" i="2" s="1"/>
  <c r="Q194" i="2"/>
  <c r="N194" i="2"/>
  <c r="L194" i="2"/>
  <c r="P194" i="2" s="1"/>
  <c r="R193" i="2"/>
  <c r="S193" i="2" s="1"/>
  <c r="Q193" i="2"/>
  <c r="P193" i="2"/>
  <c r="N193" i="2"/>
  <c r="L193" i="2"/>
  <c r="R192" i="2"/>
  <c r="S192" i="2" s="1"/>
  <c r="Q192" i="2"/>
  <c r="N192" i="2"/>
  <c r="L192" i="2"/>
  <c r="P192" i="2" s="1"/>
  <c r="R191" i="2"/>
  <c r="S191" i="2" s="1"/>
  <c r="Q191" i="2"/>
  <c r="P191" i="2"/>
  <c r="N191" i="2"/>
  <c r="L191" i="2"/>
  <c r="R190" i="2"/>
  <c r="S190" i="2" s="1"/>
  <c r="Q190" i="2"/>
  <c r="N190" i="2"/>
  <c r="L190" i="2"/>
  <c r="P190" i="2" s="1"/>
  <c r="R189" i="2"/>
  <c r="S189" i="2" s="1"/>
  <c r="Q189" i="2"/>
  <c r="P189" i="2"/>
  <c r="N189" i="2"/>
  <c r="L189" i="2"/>
  <c r="R188" i="2"/>
  <c r="S188" i="2" s="1"/>
  <c r="Q188" i="2"/>
  <c r="N188" i="2"/>
  <c r="L188" i="2"/>
  <c r="P188" i="2" s="1"/>
  <c r="R187" i="2"/>
  <c r="S187" i="2" s="1"/>
  <c r="Q187" i="2"/>
  <c r="P187" i="2"/>
  <c r="N187" i="2"/>
  <c r="L187" i="2"/>
  <c r="R186" i="2"/>
  <c r="S186" i="2" s="1"/>
  <c r="Q186" i="2"/>
  <c r="N186" i="2"/>
  <c r="L186" i="2"/>
  <c r="P186" i="2" s="1"/>
  <c r="R185" i="2"/>
  <c r="S185" i="2" s="1"/>
  <c r="Q185" i="2"/>
  <c r="P185" i="2"/>
  <c r="N185" i="2"/>
  <c r="L185" i="2"/>
  <c r="R184" i="2"/>
  <c r="S184" i="2" s="1"/>
  <c r="Q184" i="2"/>
  <c r="N184" i="2"/>
  <c r="L184" i="2"/>
  <c r="P184" i="2" s="1"/>
  <c r="R183" i="2"/>
  <c r="S183" i="2" s="1"/>
  <c r="Q183" i="2"/>
  <c r="P183" i="2"/>
  <c r="N183" i="2"/>
  <c r="L183" i="2"/>
  <c r="R182" i="2"/>
  <c r="S182" i="2" s="1"/>
  <c r="Q182" i="2"/>
  <c r="N182" i="2"/>
  <c r="L182" i="2"/>
  <c r="P182" i="2" s="1"/>
  <c r="R181" i="2"/>
  <c r="S181" i="2" s="1"/>
  <c r="Q181" i="2"/>
  <c r="P181" i="2"/>
  <c r="N181" i="2"/>
  <c r="L181" i="2"/>
  <c r="R180" i="2"/>
  <c r="S180" i="2" s="1"/>
  <c r="Q180" i="2"/>
  <c r="N180" i="2"/>
  <c r="L180" i="2"/>
  <c r="P180" i="2" s="1"/>
  <c r="R179" i="2"/>
  <c r="S179" i="2" s="1"/>
  <c r="Q179" i="2"/>
  <c r="P179" i="2"/>
  <c r="N179" i="2"/>
  <c r="L179" i="2"/>
  <c r="R178" i="2"/>
  <c r="S178" i="2" s="1"/>
  <c r="Q178" i="2"/>
  <c r="N178" i="2"/>
  <c r="L178" i="2"/>
  <c r="P178" i="2" s="1"/>
  <c r="R177" i="2"/>
  <c r="S177" i="2" s="1"/>
  <c r="Q177" i="2"/>
  <c r="P177" i="2"/>
  <c r="N177" i="2"/>
  <c r="L177" i="2"/>
  <c r="R176" i="2"/>
  <c r="S176" i="2" s="1"/>
  <c r="Q176" i="2"/>
  <c r="N176" i="2"/>
  <c r="L176" i="2"/>
  <c r="P176" i="2" s="1"/>
  <c r="R175" i="2"/>
  <c r="S175" i="2" s="1"/>
  <c r="Q175" i="2"/>
  <c r="P175" i="2"/>
  <c r="N175" i="2"/>
  <c r="L175" i="2"/>
  <c r="R174" i="2"/>
  <c r="S174" i="2" s="1"/>
  <c r="Q174" i="2"/>
  <c r="N174" i="2"/>
  <c r="L174" i="2"/>
  <c r="P174" i="2" s="1"/>
  <c r="R173" i="2"/>
  <c r="S173" i="2" s="1"/>
  <c r="Q173" i="2"/>
  <c r="P173" i="2"/>
  <c r="N173" i="2"/>
  <c r="L173" i="2"/>
  <c r="R172" i="2"/>
  <c r="S172" i="2" s="1"/>
  <c r="Q172" i="2"/>
  <c r="N172" i="2"/>
  <c r="L172" i="2"/>
  <c r="P172" i="2" s="1"/>
  <c r="R171" i="2"/>
  <c r="S171" i="2" s="1"/>
  <c r="Q171" i="2"/>
  <c r="P171" i="2"/>
  <c r="N171" i="2"/>
  <c r="L171" i="2"/>
  <c r="R170" i="2"/>
  <c r="S170" i="2" s="1"/>
  <c r="Q170" i="2"/>
  <c r="N170" i="2"/>
  <c r="L170" i="2"/>
  <c r="P170" i="2" s="1"/>
  <c r="R169" i="2"/>
  <c r="S169" i="2" s="1"/>
  <c r="Q169" i="2"/>
  <c r="P169" i="2"/>
  <c r="N169" i="2"/>
  <c r="L169" i="2"/>
  <c r="R168" i="2"/>
  <c r="S168" i="2" s="1"/>
  <c r="Q168" i="2"/>
  <c r="N168" i="2"/>
  <c r="L168" i="2"/>
  <c r="P168" i="2" s="1"/>
  <c r="R167" i="2"/>
  <c r="S167" i="2" s="1"/>
  <c r="Q167" i="2"/>
  <c r="P167" i="2"/>
  <c r="N167" i="2"/>
  <c r="L167" i="2"/>
  <c r="R166" i="2"/>
  <c r="S166" i="2" s="1"/>
  <c r="Q166" i="2"/>
  <c r="N166" i="2"/>
  <c r="L166" i="2"/>
  <c r="P166" i="2" s="1"/>
  <c r="R165" i="2"/>
  <c r="S165" i="2" s="1"/>
  <c r="Q165" i="2"/>
  <c r="P165" i="2"/>
  <c r="N165" i="2"/>
  <c r="L165" i="2"/>
  <c r="R164" i="2"/>
  <c r="S164" i="2" s="1"/>
  <c r="Q164" i="2"/>
  <c r="N164" i="2"/>
  <c r="L164" i="2"/>
  <c r="P164" i="2" s="1"/>
  <c r="R163" i="2"/>
  <c r="S163" i="2" s="1"/>
  <c r="Q163" i="2"/>
  <c r="P163" i="2"/>
  <c r="N163" i="2"/>
  <c r="L163" i="2"/>
  <c r="R162" i="2"/>
  <c r="S162" i="2" s="1"/>
  <c r="Q162" i="2"/>
  <c r="N162" i="2"/>
  <c r="L162" i="2"/>
  <c r="P162" i="2" s="1"/>
  <c r="R161" i="2"/>
  <c r="S161" i="2" s="1"/>
  <c r="Q161" i="2"/>
  <c r="P161" i="2"/>
  <c r="N161" i="2"/>
  <c r="L161" i="2"/>
  <c r="R160" i="2"/>
  <c r="S160" i="2" s="1"/>
  <c r="Q160" i="2"/>
  <c r="N160" i="2"/>
  <c r="L160" i="2"/>
  <c r="P160" i="2" s="1"/>
  <c r="R159" i="2"/>
  <c r="S159" i="2" s="1"/>
  <c r="Q159" i="2"/>
  <c r="P159" i="2"/>
  <c r="N159" i="2"/>
  <c r="L159" i="2"/>
  <c r="R158" i="2"/>
  <c r="S158" i="2" s="1"/>
  <c r="Q158" i="2"/>
  <c r="N158" i="2"/>
  <c r="L158" i="2"/>
  <c r="P158" i="2" s="1"/>
  <c r="R157" i="2"/>
  <c r="S157" i="2" s="1"/>
  <c r="Q157" i="2"/>
  <c r="P157" i="2"/>
  <c r="N157" i="2"/>
  <c r="L157" i="2"/>
  <c r="R156" i="2"/>
  <c r="S156" i="2" s="1"/>
  <c r="Q156" i="2"/>
  <c r="N156" i="2"/>
  <c r="L156" i="2"/>
  <c r="P156" i="2" s="1"/>
  <c r="R155" i="2"/>
  <c r="S155" i="2" s="1"/>
  <c r="Q155" i="2"/>
  <c r="P155" i="2"/>
  <c r="N155" i="2"/>
  <c r="L155" i="2"/>
  <c r="R154" i="2"/>
  <c r="S154" i="2" s="1"/>
  <c r="Q154" i="2"/>
  <c r="N154" i="2"/>
  <c r="L154" i="2"/>
  <c r="P154" i="2" s="1"/>
  <c r="R153" i="2"/>
  <c r="S153" i="2" s="1"/>
  <c r="Q153" i="2"/>
  <c r="P153" i="2"/>
  <c r="N153" i="2"/>
  <c r="L153" i="2"/>
  <c r="R152" i="2"/>
  <c r="S152" i="2" s="1"/>
  <c r="Q152" i="2"/>
  <c r="N152" i="2"/>
  <c r="L152" i="2"/>
  <c r="P152" i="2" s="1"/>
  <c r="R151" i="2"/>
  <c r="S151" i="2" s="1"/>
  <c r="P151" i="2"/>
  <c r="N151" i="2"/>
  <c r="Q151" i="2" s="1"/>
  <c r="L151" i="2"/>
  <c r="R150" i="2"/>
  <c r="S150" i="2" s="1"/>
  <c r="Q150" i="2"/>
  <c r="N150" i="2"/>
  <c r="L150" i="2"/>
  <c r="P150" i="2" s="1"/>
  <c r="R149" i="2"/>
  <c r="S149" i="2" s="1"/>
  <c r="P149" i="2"/>
  <c r="N149" i="2"/>
  <c r="Q149" i="2" s="1"/>
  <c r="L149" i="2"/>
  <c r="R148" i="2"/>
  <c r="S148" i="2" s="1"/>
  <c r="Q148" i="2"/>
  <c r="N148" i="2"/>
  <c r="L148" i="2"/>
  <c r="P148" i="2" s="1"/>
  <c r="R147" i="2"/>
  <c r="S147" i="2" s="1"/>
  <c r="P147" i="2"/>
  <c r="N147" i="2"/>
  <c r="Q147" i="2" s="1"/>
  <c r="L147" i="2"/>
  <c r="R146" i="2"/>
  <c r="S146" i="2" s="1"/>
  <c r="Q146" i="2"/>
  <c r="N146" i="2"/>
  <c r="L146" i="2"/>
  <c r="P146" i="2" s="1"/>
  <c r="R145" i="2"/>
  <c r="S145" i="2" s="1"/>
  <c r="P145" i="2"/>
  <c r="N145" i="2"/>
  <c r="Q145" i="2" s="1"/>
  <c r="L145" i="2"/>
  <c r="R144" i="2"/>
  <c r="S144" i="2" s="1"/>
  <c r="Q144" i="2"/>
  <c r="N144" i="2"/>
  <c r="L144" i="2"/>
  <c r="P144" i="2" s="1"/>
  <c r="R143" i="2"/>
  <c r="S143" i="2" s="1"/>
  <c r="P143" i="2"/>
  <c r="N143" i="2"/>
  <c r="Q143" i="2" s="1"/>
  <c r="L143" i="2"/>
  <c r="R142" i="2"/>
  <c r="S142" i="2" s="1"/>
  <c r="Q142" i="2"/>
  <c r="N142" i="2"/>
  <c r="L142" i="2"/>
  <c r="P142" i="2" s="1"/>
  <c r="R141" i="2"/>
  <c r="S141" i="2" s="1"/>
  <c r="P141" i="2"/>
  <c r="N141" i="2"/>
  <c r="Q141" i="2" s="1"/>
  <c r="L141" i="2"/>
  <c r="R140" i="2"/>
  <c r="S140" i="2" s="1"/>
  <c r="Q140" i="2"/>
  <c r="N140" i="2"/>
  <c r="L140" i="2"/>
  <c r="P140" i="2" s="1"/>
  <c r="R139" i="2"/>
  <c r="S139" i="2" s="1"/>
  <c r="P139" i="2"/>
  <c r="N139" i="2"/>
  <c r="Q139" i="2" s="1"/>
  <c r="L139" i="2"/>
  <c r="R138" i="2"/>
  <c r="S138" i="2" s="1"/>
  <c r="Q138" i="2"/>
  <c r="N138" i="2"/>
  <c r="L138" i="2"/>
  <c r="P138" i="2" s="1"/>
  <c r="R137" i="2"/>
  <c r="S137" i="2" s="1"/>
  <c r="P137" i="2"/>
  <c r="N137" i="2"/>
  <c r="Q137" i="2" s="1"/>
  <c r="L137" i="2"/>
  <c r="R136" i="2"/>
  <c r="S136" i="2" s="1"/>
  <c r="Q136" i="2"/>
  <c r="N136" i="2"/>
  <c r="L136" i="2"/>
  <c r="P136" i="2" s="1"/>
  <c r="R135" i="2"/>
  <c r="S135" i="2" s="1"/>
  <c r="P135" i="2"/>
  <c r="N135" i="2"/>
  <c r="Q135" i="2" s="1"/>
  <c r="L135" i="2"/>
  <c r="R134" i="2"/>
  <c r="S134" i="2" s="1"/>
  <c r="Q134" i="2"/>
  <c r="N134" i="2"/>
  <c r="L134" i="2"/>
  <c r="P134" i="2" s="1"/>
  <c r="R133" i="2"/>
  <c r="S133" i="2" s="1"/>
  <c r="P133" i="2"/>
  <c r="N133" i="2"/>
  <c r="Q133" i="2" s="1"/>
  <c r="L133" i="2"/>
  <c r="R132" i="2"/>
  <c r="S132" i="2" s="1"/>
  <c r="Q132" i="2"/>
  <c r="N132" i="2"/>
  <c r="L132" i="2"/>
  <c r="P132" i="2" s="1"/>
  <c r="R131" i="2"/>
  <c r="S131" i="2" s="1"/>
  <c r="P131" i="2"/>
  <c r="N131" i="2"/>
  <c r="Q131" i="2" s="1"/>
  <c r="L131" i="2"/>
  <c r="R130" i="2"/>
  <c r="S130" i="2" s="1"/>
  <c r="Q130" i="2"/>
  <c r="N130" i="2"/>
  <c r="L130" i="2"/>
  <c r="P130" i="2" s="1"/>
  <c r="R129" i="2"/>
  <c r="S129" i="2" s="1"/>
  <c r="P129" i="2"/>
  <c r="N129" i="2"/>
  <c r="Q129" i="2" s="1"/>
  <c r="L129" i="2"/>
  <c r="R128" i="2"/>
  <c r="S128" i="2" s="1"/>
  <c r="Q128" i="2"/>
  <c r="N128" i="2"/>
  <c r="L128" i="2"/>
  <c r="P128" i="2" s="1"/>
  <c r="R127" i="2"/>
  <c r="S127" i="2" s="1"/>
  <c r="P127" i="2"/>
  <c r="N127" i="2"/>
  <c r="Q127" i="2" s="1"/>
  <c r="L127" i="2"/>
  <c r="R126" i="2"/>
  <c r="S126" i="2" s="1"/>
  <c r="Q126" i="2"/>
  <c r="N126" i="2"/>
  <c r="L126" i="2"/>
  <c r="P126" i="2" s="1"/>
  <c r="R125" i="2"/>
  <c r="S125" i="2" s="1"/>
  <c r="P125" i="2"/>
  <c r="N125" i="2"/>
  <c r="Q125" i="2" s="1"/>
  <c r="L125" i="2"/>
  <c r="R124" i="2"/>
  <c r="S124" i="2" s="1"/>
  <c r="Q124" i="2"/>
  <c r="N124" i="2"/>
  <c r="L124" i="2"/>
  <c r="P124" i="2" s="1"/>
  <c r="R123" i="2"/>
  <c r="S123" i="2" s="1"/>
  <c r="P123" i="2"/>
  <c r="N123" i="2"/>
  <c r="Q123" i="2" s="1"/>
  <c r="L123" i="2"/>
  <c r="R122" i="2"/>
  <c r="S122" i="2" s="1"/>
  <c r="Q122" i="2"/>
  <c r="P122" i="2"/>
  <c r="N122" i="2"/>
  <c r="L122" i="2"/>
  <c r="R121" i="2"/>
  <c r="S121" i="2" s="1"/>
  <c r="Q121" i="2"/>
  <c r="P121" i="2"/>
  <c r="N121" i="2"/>
  <c r="L121" i="2"/>
  <c r="R120" i="2"/>
  <c r="S120" i="2" s="1"/>
  <c r="Q120" i="2"/>
  <c r="P120" i="2"/>
  <c r="N120" i="2"/>
  <c r="L120" i="2"/>
  <c r="R119" i="2"/>
  <c r="S119" i="2" s="1"/>
  <c r="N119" i="2"/>
  <c r="Q119" i="2" s="1"/>
  <c r="L119" i="2"/>
  <c r="R118" i="2"/>
  <c r="S118" i="2" s="1"/>
  <c r="Q118" i="2"/>
  <c r="P118" i="2"/>
  <c r="N118" i="2"/>
  <c r="L118" i="2"/>
  <c r="R117" i="2"/>
  <c r="S117" i="2" s="1"/>
  <c r="P117" i="2"/>
  <c r="N117" i="2"/>
  <c r="Q117" i="2" s="1"/>
  <c r="L117" i="2"/>
  <c r="R116" i="2"/>
  <c r="S116" i="2" s="1"/>
  <c r="Q116" i="2"/>
  <c r="P116" i="2"/>
  <c r="N116" i="2"/>
  <c r="L116" i="2"/>
  <c r="R115" i="2"/>
  <c r="S115" i="2" s="1"/>
  <c r="Q115" i="2"/>
  <c r="P115" i="2"/>
  <c r="N115" i="2"/>
  <c r="L115" i="2"/>
  <c r="R114" i="2"/>
  <c r="S114" i="2" s="1"/>
  <c r="Q114" i="2"/>
  <c r="P114" i="2"/>
  <c r="N114" i="2"/>
  <c r="L114" i="2"/>
  <c r="R113" i="2"/>
  <c r="S113" i="2" s="1"/>
  <c r="N113" i="2"/>
  <c r="Q113" i="2" s="1"/>
  <c r="L113" i="2"/>
  <c r="R112" i="2"/>
  <c r="S112" i="2" s="1"/>
  <c r="Q112" i="2"/>
  <c r="P112" i="2"/>
  <c r="N112" i="2"/>
  <c r="L112" i="2"/>
  <c r="R111" i="2"/>
  <c r="S111" i="2" s="1"/>
  <c r="P111" i="2"/>
  <c r="N111" i="2"/>
  <c r="Q111" i="2" s="1"/>
  <c r="L111" i="2"/>
  <c r="R110" i="2"/>
  <c r="S110" i="2" s="1"/>
  <c r="Q110" i="2"/>
  <c r="P110" i="2"/>
  <c r="N110" i="2"/>
  <c r="L110" i="2"/>
  <c r="R109" i="2"/>
  <c r="S109" i="2" s="1"/>
  <c r="Q109" i="2"/>
  <c r="P109" i="2"/>
  <c r="N109" i="2"/>
  <c r="L109" i="2"/>
  <c r="R108" i="2"/>
  <c r="S108" i="2" s="1"/>
  <c r="Q108" i="2"/>
  <c r="P108" i="2"/>
  <c r="N108" i="2"/>
  <c r="L108" i="2"/>
  <c r="R107" i="2"/>
  <c r="S107" i="2" s="1"/>
  <c r="N107" i="2"/>
  <c r="Q107" i="2" s="1"/>
  <c r="L107" i="2"/>
  <c r="R106" i="2"/>
  <c r="S106" i="2" s="1"/>
  <c r="Q106" i="2"/>
  <c r="P106" i="2"/>
  <c r="N106" i="2"/>
  <c r="L106" i="2"/>
  <c r="R105" i="2"/>
  <c r="S105" i="2" s="1"/>
  <c r="P105" i="2"/>
  <c r="N105" i="2"/>
  <c r="Q105" i="2" s="1"/>
  <c r="L105" i="2"/>
  <c r="R104" i="2"/>
  <c r="S104" i="2" s="1"/>
  <c r="Q104" i="2"/>
  <c r="P104" i="2"/>
  <c r="N104" i="2"/>
  <c r="L104" i="2"/>
  <c r="R103" i="2"/>
  <c r="S103" i="2" s="1"/>
  <c r="Q103" i="2"/>
  <c r="P103" i="2"/>
  <c r="N103" i="2"/>
  <c r="L103" i="2"/>
  <c r="R102" i="2"/>
  <c r="S102" i="2" s="1"/>
  <c r="Q102" i="2"/>
  <c r="P102" i="2"/>
  <c r="N102" i="2"/>
  <c r="L102" i="2"/>
  <c r="R101" i="2"/>
  <c r="S101" i="2" s="1"/>
  <c r="N101" i="2"/>
  <c r="Q101" i="2" s="1"/>
  <c r="L101" i="2"/>
  <c r="R100" i="2"/>
  <c r="S100" i="2" s="1"/>
  <c r="Q100" i="2"/>
  <c r="P100" i="2"/>
  <c r="N100" i="2"/>
  <c r="L100" i="2"/>
  <c r="R99" i="2"/>
  <c r="S99" i="2" s="1"/>
  <c r="P99" i="2"/>
  <c r="N99" i="2"/>
  <c r="Q99" i="2" s="1"/>
  <c r="L99" i="2"/>
  <c r="R98" i="2"/>
  <c r="S98" i="2" s="1"/>
  <c r="Q98" i="2"/>
  <c r="P98" i="2"/>
  <c r="N98" i="2"/>
  <c r="L98" i="2"/>
  <c r="R97" i="2"/>
  <c r="S97" i="2" s="1"/>
  <c r="Q97" i="2"/>
  <c r="P97" i="2"/>
  <c r="N97" i="2"/>
  <c r="L97" i="2"/>
  <c r="R96" i="2"/>
  <c r="S96" i="2" s="1"/>
  <c r="Q96" i="2"/>
  <c r="P96" i="2"/>
  <c r="N96" i="2"/>
  <c r="L96" i="2"/>
  <c r="R95" i="2"/>
  <c r="S95" i="2" s="1"/>
  <c r="N95" i="2"/>
  <c r="Q95" i="2" s="1"/>
  <c r="L95" i="2"/>
  <c r="R94" i="2"/>
  <c r="S94" i="2" s="1"/>
  <c r="Q94" i="2"/>
  <c r="P94" i="2"/>
  <c r="N94" i="2"/>
  <c r="L94" i="2"/>
  <c r="R93" i="2"/>
  <c r="S93" i="2" s="1"/>
  <c r="P93" i="2"/>
  <c r="N93" i="2"/>
  <c r="Q93" i="2" s="1"/>
  <c r="L93" i="2"/>
  <c r="R92" i="2"/>
  <c r="S92" i="2" s="1"/>
  <c r="Q92" i="2"/>
  <c r="P92" i="2"/>
  <c r="N92" i="2"/>
  <c r="L92" i="2"/>
  <c r="R91" i="2"/>
  <c r="S91" i="2" s="1"/>
  <c r="Q91" i="2"/>
  <c r="P91" i="2"/>
  <c r="N91" i="2"/>
  <c r="L91" i="2"/>
  <c r="R90" i="2"/>
  <c r="S90" i="2" s="1"/>
  <c r="Q90" i="2"/>
  <c r="P90" i="2"/>
  <c r="N90" i="2"/>
  <c r="L90" i="2"/>
  <c r="R89" i="2"/>
  <c r="S89" i="2" s="1"/>
  <c r="N89" i="2"/>
  <c r="Q89" i="2" s="1"/>
  <c r="L89" i="2"/>
  <c r="R88" i="2"/>
  <c r="S88" i="2" s="1"/>
  <c r="Q88" i="2"/>
  <c r="P88" i="2"/>
  <c r="N88" i="2"/>
  <c r="L88" i="2"/>
  <c r="R87" i="2"/>
  <c r="S87" i="2" s="1"/>
  <c r="P87" i="2"/>
  <c r="N87" i="2"/>
  <c r="Q87" i="2" s="1"/>
  <c r="L87" i="2"/>
  <c r="R86" i="2"/>
  <c r="S86" i="2" s="1"/>
  <c r="Q86" i="2"/>
  <c r="P86" i="2"/>
  <c r="N86" i="2"/>
  <c r="L86" i="2"/>
  <c r="R85" i="2"/>
  <c r="S85" i="2" s="1"/>
  <c r="Q85" i="2"/>
  <c r="P85" i="2"/>
  <c r="N85" i="2"/>
  <c r="L85" i="2"/>
  <c r="R84" i="2"/>
  <c r="S84" i="2" s="1"/>
  <c r="Q84" i="2"/>
  <c r="P84" i="2"/>
  <c r="N84" i="2"/>
  <c r="L84" i="2"/>
  <c r="R83" i="2"/>
  <c r="S83" i="2" s="1"/>
  <c r="N83" i="2"/>
  <c r="Q83" i="2" s="1"/>
  <c r="L83" i="2"/>
  <c r="R82" i="2"/>
  <c r="S82" i="2" s="1"/>
  <c r="Q82" i="2"/>
  <c r="P82" i="2"/>
  <c r="N82" i="2"/>
  <c r="L82" i="2"/>
  <c r="R81" i="2"/>
  <c r="S81" i="2" s="1"/>
  <c r="P81" i="2"/>
  <c r="N81" i="2"/>
  <c r="Q81" i="2" s="1"/>
  <c r="L81" i="2"/>
  <c r="R80" i="2"/>
  <c r="S80" i="2" s="1"/>
  <c r="Q80" i="2"/>
  <c r="P80" i="2"/>
  <c r="N80" i="2"/>
  <c r="L80" i="2"/>
  <c r="R79" i="2"/>
  <c r="S79" i="2" s="1"/>
  <c r="Q79" i="2"/>
  <c r="P79" i="2"/>
  <c r="N79" i="2"/>
  <c r="L79" i="2"/>
  <c r="R78" i="2"/>
  <c r="S78" i="2" s="1"/>
  <c r="Q78" i="2"/>
  <c r="P78" i="2"/>
  <c r="N78" i="2"/>
  <c r="L78" i="2"/>
  <c r="R77" i="2"/>
  <c r="S77" i="2" s="1"/>
  <c r="N77" i="2"/>
  <c r="Q77" i="2" s="1"/>
  <c r="L77" i="2"/>
  <c r="R76" i="2"/>
  <c r="S76" i="2" s="1"/>
  <c r="Q76" i="2"/>
  <c r="P76" i="2"/>
  <c r="N76" i="2"/>
  <c r="L76" i="2"/>
  <c r="R75" i="2"/>
  <c r="S75" i="2" s="1"/>
  <c r="P75" i="2"/>
  <c r="N75" i="2"/>
  <c r="Q75" i="2" s="1"/>
  <c r="L75" i="2"/>
  <c r="R74" i="2"/>
  <c r="S74" i="2" s="1"/>
  <c r="Q74" i="2"/>
  <c r="P74" i="2"/>
  <c r="N74" i="2"/>
  <c r="L74" i="2"/>
  <c r="R73" i="2"/>
  <c r="S73" i="2" s="1"/>
  <c r="Q73" i="2"/>
  <c r="P73" i="2"/>
  <c r="N73" i="2"/>
  <c r="L73" i="2"/>
  <c r="R72" i="2"/>
  <c r="S72" i="2" s="1"/>
  <c r="Q72" i="2"/>
  <c r="P72" i="2"/>
  <c r="N72" i="2"/>
  <c r="L72" i="2"/>
  <c r="R71" i="2"/>
  <c r="S71" i="2" s="1"/>
  <c r="N71" i="2"/>
  <c r="Q71" i="2" s="1"/>
  <c r="L71" i="2"/>
  <c r="R70" i="2"/>
  <c r="S70" i="2" s="1"/>
  <c r="Q70" i="2"/>
  <c r="P70" i="2"/>
  <c r="N70" i="2"/>
  <c r="L70" i="2"/>
  <c r="R69" i="2"/>
  <c r="S69" i="2" s="1"/>
  <c r="P69" i="2"/>
  <c r="N69" i="2"/>
  <c r="Q69" i="2" s="1"/>
  <c r="L69" i="2"/>
  <c r="R68" i="2"/>
  <c r="S68" i="2" s="1"/>
  <c r="Q68" i="2"/>
  <c r="P68" i="2"/>
  <c r="N68" i="2"/>
  <c r="L68" i="2"/>
  <c r="R67" i="2"/>
  <c r="S67" i="2" s="1"/>
  <c r="Q67" i="2"/>
  <c r="P67" i="2"/>
  <c r="N67" i="2"/>
  <c r="L67" i="2"/>
  <c r="R66" i="2"/>
  <c r="S66" i="2" s="1"/>
  <c r="Q66" i="2"/>
  <c r="P66" i="2"/>
  <c r="N66" i="2"/>
  <c r="L66" i="2"/>
  <c r="R65" i="2"/>
  <c r="S65" i="2" s="1"/>
  <c r="N65" i="2"/>
  <c r="Q65" i="2" s="1"/>
  <c r="L65" i="2"/>
  <c r="R64" i="2"/>
  <c r="S64" i="2" s="1"/>
  <c r="Q64" i="2"/>
  <c r="P64" i="2"/>
  <c r="N64" i="2"/>
  <c r="L64" i="2"/>
  <c r="R63" i="2"/>
  <c r="S63" i="2" s="1"/>
  <c r="P63" i="2"/>
  <c r="N63" i="2"/>
  <c r="Q63" i="2" s="1"/>
  <c r="L63" i="2"/>
  <c r="R62" i="2"/>
  <c r="S62" i="2" s="1"/>
  <c r="Q62" i="2"/>
  <c r="P62" i="2"/>
  <c r="N62" i="2"/>
  <c r="L62" i="2"/>
  <c r="R61" i="2"/>
  <c r="S61" i="2" s="1"/>
  <c r="Q61" i="2"/>
  <c r="P61" i="2"/>
  <c r="N61" i="2"/>
  <c r="L61" i="2"/>
  <c r="R60" i="2"/>
  <c r="S60" i="2" s="1"/>
  <c r="Q60" i="2"/>
  <c r="P60" i="2"/>
  <c r="N60" i="2"/>
  <c r="L60" i="2"/>
  <c r="R59" i="2"/>
  <c r="S59" i="2" s="1"/>
  <c r="N59" i="2"/>
  <c r="Q59" i="2" s="1"/>
  <c r="L59" i="2"/>
  <c r="R58" i="2"/>
  <c r="S58" i="2" s="1"/>
  <c r="Q58" i="2"/>
  <c r="P58" i="2"/>
  <c r="N58" i="2"/>
  <c r="L58" i="2"/>
  <c r="R57" i="2"/>
  <c r="S57" i="2" s="1"/>
  <c r="P57" i="2"/>
  <c r="N57" i="2"/>
  <c r="Q57" i="2" s="1"/>
  <c r="L57" i="2"/>
  <c r="R56" i="2"/>
  <c r="S56" i="2" s="1"/>
  <c r="Q56" i="2"/>
  <c r="P56" i="2"/>
  <c r="N56" i="2"/>
  <c r="L56" i="2"/>
  <c r="R55" i="2"/>
  <c r="S55" i="2" s="1"/>
  <c r="Q55" i="2"/>
  <c r="P55" i="2"/>
  <c r="N55" i="2"/>
  <c r="L55" i="2"/>
  <c r="S54" i="2"/>
  <c r="R54" i="2"/>
  <c r="Q54" i="2"/>
  <c r="P54" i="2"/>
  <c r="N54" i="2"/>
  <c r="L54" i="2"/>
  <c r="Q53" i="2"/>
  <c r="N53" i="2"/>
  <c r="L53" i="2"/>
  <c r="R53" i="2" s="1"/>
  <c r="S53" i="2" s="1"/>
  <c r="Q52" i="2"/>
  <c r="N52" i="2"/>
  <c r="L52" i="2"/>
  <c r="P52" i="2" s="1"/>
  <c r="Q51" i="2"/>
  <c r="N51" i="2"/>
  <c r="L51" i="2"/>
  <c r="R51" i="2" s="1"/>
  <c r="S51" i="2" s="1"/>
  <c r="Q50" i="2"/>
  <c r="N50" i="2"/>
  <c r="L50" i="2"/>
  <c r="P50" i="2" s="1"/>
  <c r="Q49" i="2"/>
  <c r="N49" i="2"/>
  <c r="L49" i="2"/>
  <c r="R49" i="2" s="1"/>
  <c r="S49" i="2" s="1"/>
  <c r="Q48" i="2"/>
  <c r="N48" i="2"/>
  <c r="L48" i="2"/>
  <c r="P48" i="2" s="1"/>
  <c r="Q47" i="2"/>
  <c r="N47" i="2"/>
  <c r="L47" i="2"/>
  <c r="R47" i="2" s="1"/>
  <c r="S47" i="2" s="1"/>
  <c r="Q46" i="2"/>
  <c r="N46" i="2"/>
  <c r="L46" i="2"/>
  <c r="P46" i="2" s="1"/>
  <c r="Q45" i="2"/>
  <c r="N45" i="2"/>
  <c r="L45" i="2"/>
  <c r="R45" i="2" s="1"/>
  <c r="S45" i="2" s="1"/>
  <c r="Q44" i="2"/>
  <c r="N44" i="2"/>
  <c r="L44" i="2"/>
  <c r="P44" i="2" s="1"/>
  <c r="Q43" i="2"/>
  <c r="N43" i="2"/>
  <c r="L43" i="2"/>
  <c r="R43" i="2" s="1"/>
  <c r="S43" i="2" s="1"/>
  <c r="Q42" i="2"/>
  <c r="N42" i="2"/>
  <c r="L42" i="2"/>
  <c r="P42" i="2" s="1"/>
  <c r="Q41" i="2"/>
  <c r="N41" i="2"/>
  <c r="L41" i="2"/>
  <c r="R41" i="2" s="1"/>
  <c r="S41" i="2" s="1"/>
  <c r="Q40" i="2"/>
  <c r="N40" i="2"/>
  <c r="L40" i="2"/>
  <c r="P40" i="2" s="1"/>
  <c r="Q39" i="2"/>
  <c r="N39" i="2"/>
  <c r="L39" i="2"/>
  <c r="R39" i="2" s="1"/>
  <c r="S39" i="2" s="1"/>
  <c r="Q38" i="2"/>
  <c r="N38" i="2"/>
  <c r="L38" i="2"/>
  <c r="P38" i="2" s="1"/>
  <c r="Q37" i="2"/>
  <c r="N37" i="2"/>
  <c r="L37" i="2"/>
  <c r="R37" i="2" s="1"/>
  <c r="S37" i="2" s="1"/>
  <c r="Q36" i="2"/>
  <c r="N36" i="2"/>
  <c r="L36" i="2"/>
  <c r="P36" i="2" s="1"/>
  <c r="Q35" i="2"/>
  <c r="N35" i="2"/>
  <c r="L35" i="2"/>
  <c r="R35" i="2" s="1"/>
  <c r="S35" i="2" s="1"/>
  <c r="Q34" i="2"/>
  <c r="N34" i="2"/>
  <c r="L34" i="2"/>
  <c r="P34" i="2" s="1"/>
  <c r="Q33" i="2"/>
  <c r="N33" i="2"/>
  <c r="L33" i="2"/>
  <c r="R33" i="2" s="1"/>
  <c r="S33" i="2" s="1"/>
  <c r="Q32" i="2"/>
  <c r="N32" i="2"/>
  <c r="L32" i="2"/>
  <c r="P32" i="2" s="1"/>
  <c r="Q31" i="2"/>
  <c r="N31" i="2"/>
  <c r="L31" i="2"/>
  <c r="R31" i="2" s="1"/>
  <c r="S31" i="2" s="1"/>
  <c r="Q30" i="2"/>
  <c r="N30" i="2"/>
  <c r="L30" i="2"/>
  <c r="P30" i="2" s="1"/>
  <c r="Q29" i="2"/>
  <c r="N29" i="2"/>
  <c r="L29" i="2"/>
  <c r="R29" i="2" s="1"/>
  <c r="S29" i="2" s="1"/>
  <c r="Q28" i="2"/>
  <c r="N28" i="2"/>
  <c r="L28" i="2"/>
  <c r="P28" i="2" s="1"/>
  <c r="Q27" i="2"/>
  <c r="N27" i="2"/>
  <c r="L27" i="2"/>
  <c r="R27" i="2" s="1"/>
  <c r="S27" i="2" s="1"/>
  <c r="Q26" i="2"/>
  <c r="N26" i="2"/>
  <c r="L26" i="2"/>
  <c r="P26" i="2" s="1"/>
  <c r="Q25" i="2"/>
  <c r="N25" i="2"/>
  <c r="L25" i="2"/>
  <c r="R25" i="2" s="1"/>
  <c r="S25" i="2" s="1"/>
  <c r="Q24" i="2"/>
  <c r="N24" i="2"/>
  <c r="L24" i="2"/>
  <c r="P24" i="2" s="1"/>
  <c r="Q23" i="2"/>
  <c r="N23" i="2"/>
  <c r="L23" i="2"/>
  <c r="R23" i="2" s="1"/>
  <c r="S23" i="2" s="1"/>
  <c r="Q22" i="2"/>
  <c r="N22" i="2"/>
  <c r="L22" i="2"/>
  <c r="P22" i="2" s="1"/>
  <c r="Q21" i="2"/>
  <c r="N21" i="2"/>
  <c r="L21" i="2"/>
  <c r="R21" i="2" s="1"/>
  <c r="S21" i="2" s="1"/>
  <c r="Q20" i="2"/>
  <c r="N20" i="2"/>
  <c r="L20" i="2"/>
  <c r="P20" i="2" s="1"/>
  <c r="Q19" i="2"/>
  <c r="N19" i="2"/>
  <c r="L19" i="2"/>
  <c r="R19" i="2" s="1"/>
  <c r="S19" i="2" s="1"/>
  <c r="Q18" i="2"/>
  <c r="N18" i="2"/>
  <c r="L18" i="2"/>
  <c r="P18" i="2" s="1"/>
  <c r="Q17" i="2"/>
  <c r="N17" i="2"/>
  <c r="L17" i="2"/>
  <c r="R17" i="2" s="1"/>
  <c r="S17" i="2" s="1"/>
  <c r="Q16" i="2"/>
  <c r="N16" i="2"/>
  <c r="L16" i="2"/>
  <c r="P16" i="2" s="1"/>
  <c r="Q15" i="2"/>
  <c r="N15" i="2"/>
  <c r="L15" i="2"/>
  <c r="R15" i="2" s="1"/>
  <c r="S15" i="2" s="1"/>
  <c r="Q14" i="2"/>
  <c r="N14" i="2"/>
  <c r="L14" i="2"/>
  <c r="P14" i="2" s="1"/>
  <c r="Q13" i="2"/>
  <c r="N13" i="2"/>
  <c r="L13" i="2"/>
  <c r="R13" i="2" s="1"/>
  <c r="S13" i="2" s="1"/>
  <c r="Q12" i="2"/>
  <c r="N12" i="2"/>
  <c r="L12" i="2"/>
  <c r="P12" i="2" s="1"/>
  <c r="Q11" i="2"/>
  <c r="N11" i="2"/>
  <c r="L11" i="2"/>
  <c r="R11" i="2" s="1"/>
  <c r="S11" i="2" s="1"/>
  <c r="Q10" i="2"/>
  <c r="N10" i="2"/>
  <c r="L10" i="2"/>
  <c r="P10" i="2" s="1"/>
  <c r="Q9" i="2"/>
  <c r="N9" i="2"/>
  <c r="L9" i="2"/>
  <c r="R9" i="2" s="1"/>
  <c r="S9" i="2" s="1"/>
  <c r="Q8" i="2"/>
  <c r="N8" i="2"/>
  <c r="L8" i="2"/>
  <c r="P8" i="2" s="1"/>
  <c r="Q7" i="2"/>
  <c r="N7" i="2"/>
  <c r="L7" i="2"/>
  <c r="R7" i="2" s="1"/>
  <c r="S7" i="2" s="1"/>
  <c r="D54" i="5"/>
  <c r="I56" i="5"/>
  <c r="H56" i="5"/>
  <c r="E56" i="5"/>
  <c r="D56" i="5"/>
  <c r="I24" i="5"/>
  <c r="E24" i="5"/>
  <c r="D24" i="5"/>
  <c r="H24" i="5"/>
  <c r="A90" i="5"/>
  <c r="D80" i="5"/>
  <c r="F80" i="5"/>
  <c r="D73" i="5"/>
  <c r="D77" i="5"/>
  <c r="D78" i="5" s="1"/>
  <c r="E69" i="5"/>
  <c r="D69" i="5" s="1"/>
  <c r="F68" i="5"/>
  <c r="F71" i="5" s="1"/>
  <c r="F70" i="5"/>
  <c r="E70" i="5"/>
  <c r="D70" i="5"/>
  <c r="F69" i="5"/>
  <c r="E68" i="5"/>
  <c r="E71" i="5" s="1"/>
  <c r="I54" i="5"/>
  <c r="I48" i="5"/>
  <c r="E48" i="5" s="1"/>
  <c r="E53" i="5"/>
  <c r="E52" i="5"/>
  <c r="E51" i="5"/>
  <c r="D48" i="5"/>
  <c r="D58" i="5" s="1"/>
  <c r="E50" i="5"/>
  <c r="H48" i="5"/>
  <c r="H58" i="5" s="1"/>
  <c r="E49" i="5"/>
  <c r="E55" i="5"/>
  <c r="E54" i="5" s="1"/>
  <c r="H54" i="5"/>
  <c r="R8" i="2" l="1"/>
  <c r="S8" i="2" s="1"/>
  <c r="R10" i="2"/>
  <c r="S10" i="2" s="1"/>
  <c r="R12" i="2"/>
  <c r="S12" i="2" s="1"/>
  <c r="R14" i="2"/>
  <c r="S14" i="2" s="1"/>
  <c r="R16" i="2"/>
  <c r="S16" i="2" s="1"/>
  <c r="R18" i="2"/>
  <c r="S18" i="2" s="1"/>
  <c r="R20" i="2"/>
  <c r="S20" i="2" s="1"/>
  <c r="R22" i="2"/>
  <c r="S22" i="2" s="1"/>
  <c r="R24" i="2"/>
  <c r="S24" i="2" s="1"/>
  <c r="R26" i="2"/>
  <c r="S26" i="2" s="1"/>
  <c r="R28" i="2"/>
  <c r="S28" i="2" s="1"/>
  <c r="R30" i="2"/>
  <c r="S30" i="2" s="1"/>
  <c r="R32" i="2"/>
  <c r="S32" i="2" s="1"/>
  <c r="R34" i="2"/>
  <c r="S34" i="2" s="1"/>
  <c r="R36" i="2"/>
  <c r="S36" i="2" s="1"/>
  <c r="R38" i="2"/>
  <c r="S38" i="2" s="1"/>
  <c r="R40" i="2"/>
  <c r="S40" i="2" s="1"/>
  <c r="R42" i="2"/>
  <c r="S42" i="2" s="1"/>
  <c r="R44" i="2"/>
  <c r="S44" i="2" s="1"/>
  <c r="R46" i="2"/>
  <c r="S46" i="2" s="1"/>
  <c r="R48" i="2"/>
  <c r="S48" i="2" s="1"/>
  <c r="R50" i="2"/>
  <c r="S50" i="2" s="1"/>
  <c r="R52" i="2"/>
  <c r="S52" i="2" s="1"/>
  <c r="P59" i="2"/>
  <c r="P71" i="2"/>
  <c r="P83" i="2"/>
  <c r="P95" i="2"/>
  <c r="P107" i="2"/>
  <c r="P119" i="2"/>
  <c r="P7" i="2"/>
  <c r="P9" i="2"/>
  <c r="P11" i="2"/>
  <c r="P13" i="2"/>
  <c r="P15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65" i="2"/>
  <c r="P77" i="2"/>
  <c r="P89" i="2"/>
  <c r="P101" i="2"/>
  <c r="P113" i="2"/>
  <c r="H92" i="5"/>
  <c r="F81" i="5"/>
  <c r="E72" i="5"/>
  <c r="D83" i="5"/>
  <c r="F83" i="5"/>
  <c r="D71" i="5"/>
  <c r="D72" i="5" s="1"/>
  <c r="F72" i="5"/>
  <c r="D79" i="5"/>
  <c r="D81" i="5" s="1"/>
  <c r="D68" i="5"/>
  <c r="G90" i="5"/>
  <c r="I58" i="5"/>
  <c r="E58" i="5" s="1"/>
  <c r="H20" i="5" l="1"/>
  <c r="H18" i="5"/>
  <c r="E79" i="5"/>
  <c r="D82" i="5"/>
  <c r="E78" i="5"/>
  <c r="E80" i="5"/>
  <c r="G80" i="5"/>
  <c r="G77" i="5"/>
  <c r="G78" i="5"/>
  <c r="G79" i="5"/>
  <c r="E90" i="5"/>
  <c r="F33" i="5"/>
  <c r="G91" i="5"/>
  <c r="E60" i="5"/>
  <c r="I17" i="5"/>
  <c r="H23" i="5"/>
  <c r="D37" i="5"/>
  <c r="F37" i="5"/>
  <c r="D90" i="5" l="1"/>
  <c r="H90" i="5" s="1"/>
  <c r="H91" i="5" s="1"/>
  <c r="H17" i="5"/>
  <c r="E17" i="5" s="1"/>
  <c r="I20" i="5"/>
  <c r="I19" i="5"/>
  <c r="I23" i="5"/>
  <c r="I22" i="5" s="1"/>
  <c r="I18" i="5"/>
  <c r="H19" i="5"/>
  <c r="E19" i="5" s="1"/>
  <c r="I21" i="5"/>
  <c r="H21" i="5"/>
  <c r="G81" i="5"/>
  <c r="E20" i="5"/>
  <c r="E81" i="5"/>
  <c r="H22" i="5"/>
  <c r="D22" i="5"/>
  <c r="E23" i="5"/>
  <c r="E22" i="5" s="1"/>
  <c r="D33" i="5"/>
  <c r="E18" i="5"/>
  <c r="H16" i="5" l="1"/>
  <c r="H26" i="5" s="1"/>
  <c r="H27" i="5" s="1"/>
  <c r="I16" i="5"/>
  <c r="E27" i="5" s="1"/>
  <c r="E21" i="5"/>
  <c r="D38" i="5"/>
  <c r="I26" i="5" l="1"/>
  <c r="E26" i="5" s="1"/>
  <c r="D16" i="5"/>
  <c r="D27" i="5" s="1"/>
  <c r="E16" i="5"/>
  <c r="F38" i="5"/>
  <c r="E34" i="5"/>
  <c r="E35" i="5"/>
  <c r="E33" i="5"/>
  <c r="E37" i="5"/>
  <c r="E36" i="5"/>
  <c r="D26" i="5" l="1"/>
  <c r="I27" i="5"/>
  <c r="G36" i="5"/>
  <c r="G33" i="5"/>
  <c r="E91" i="5"/>
  <c r="G37" i="5"/>
  <c r="G35" i="5"/>
  <c r="G34" i="5"/>
  <c r="E38" i="5"/>
  <c r="A1" i="5" l="1"/>
  <c r="G38" i="5"/>
</calcChain>
</file>

<file path=xl/sharedStrings.xml><?xml version="1.0" encoding="utf-8"?>
<sst xmlns="http://schemas.openxmlformats.org/spreadsheetml/2006/main" count="738" uniqueCount="645">
  <si>
    <t>20 -</t>
  </si>
  <si>
    <t>21 -</t>
  </si>
  <si>
    <t>22 -</t>
  </si>
  <si>
    <t>23 -</t>
  </si>
  <si>
    <t>2X -</t>
  </si>
  <si>
    <t>6X -</t>
  </si>
  <si>
    <t>%</t>
  </si>
  <si>
    <t>Partida</t>
  </si>
  <si>
    <t>ADO-17</t>
  </si>
  <si>
    <t>ADO-12</t>
  </si>
  <si>
    <t>capit</t>
  </si>
  <si>
    <t>INFORMACIÓN SOBRE PLAZOS DE PAGO</t>
  </si>
  <si>
    <t>Entidad local:</t>
  </si>
  <si>
    <t>Ejercicio:</t>
  </si>
  <si>
    <t>Trimestre:</t>
  </si>
  <si>
    <t>1.1. Por clasificación económica</t>
  </si>
  <si>
    <t>1.2. Por plazos</t>
  </si>
  <si>
    <t>Pagos en el trimestre</t>
  </si>
  <si>
    <t>Plazo de pago</t>
  </si>
  <si>
    <t>(promedio de días)</t>
  </si>
  <si>
    <t>Total</t>
  </si>
  <si>
    <t>Dentro del plazo legal</t>
  </si>
  <si>
    <t>Fuera del plazo legal</t>
  </si>
  <si>
    <t>Pagos realizados en el trimestre</t>
  </si>
  <si>
    <t>Número de pagos</t>
  </si>
  <si>
    <t>Importe total</t>
  </si>
  <si>
    <t>Arrendamientos y cánones</t>
  </si>
  <si>
    <t>Reparaciones, mantenimiento y conservación</t>
  </si>
  <si>
    <t>Material, suministros y otros</t>
  </si>
  <si>
    <t>Indemnizaciones por razón del servicio</t>
  </si>
  <si>
    <t>Otros</t>
  </si>
  <si>
    <t>Inversiones reales</t>
  </si>
  <si>
    <t>Pagos pendientes de aplicar al presupuesto</t>
  </si>
  <si>
    <t>* sólo facturas correspondientes a capítulos 2 y 6</t>
  </si>
  <si>
    <t>Pagos pendientes de aplicar al presupuesto*</t>
  </si>
  <si>
    <t>Gasto en bienes corrientes y servicios</t>
  </si>
  <si>
    <t>Número de días</t>
  </si>
  <si>
    <t>30 días o menos</t>
  </si>
  <si>
    <t>De 31 a 40 días</t>
  </si>
  <si>
    <t>De 51 a 60 días</t>
  </si>
  <si>
    <t>Más de 60 días</t>
  </si>
  <si>
    <t>Pagos realizados</t>
  </si>
  <si>
    <t>Número de facturas</t>
  </si>
  <si>
    <t>Pendientes de pago al finalizar el trimestre</t>
  </si>
  <si>
    <t>Número de operaciones</t>
  </si>
  <si>
    <t>Pendientes de aplicación al presupuesto</t>
  </si>
  <si>
    <t>Plazo
(promedio de días)</t>
  </si>
  <si>
    <t>Número</t>
  </si>
  <si>
    <t>De 31 a 60 días</t>
  </si>
  <si>
    <t>De 61 a 90 días</t>
  </si>
  <si>
    <t>Más de 90 días</t>
  </si>
  <si>
    <t>4. Plazo medio de pago de la entidad (PMP)</t>
  </si>
  <si>
    <t>PMP del trimestre</t>
  </si>
  <si>
    <t>Observaciones sobre el PMP:</t>
  </si>
  <si>
    <t>Ratio</t>
  </si>
  <si>
    <t>Facturas sin obligación reconocida</t>
  </si>
  <si>
    <t>PMP</t>
  </si>
  <si>
    <t>Importe</t>
  </si>
  <si>
    <t>Operaciones pagadas</t>
  </si>
  <si>
    <t>Operaciones pendientes de pago</t>
  </si>
  <si>
    <t>De las de fuera de plazo</t>
  </si>
  <si>
    <t>Facturas y documento justificativos
pendientes de pago al final del trimestre</t>
  </si>
  <si>
    <t>Facturas y documentos justificativos 
sin obligación reconocida
pasados más tres meses desde su registro</t>
  </si>
  <si>
    <t>3.1. Con más de tres meses desde su entrada en registro</t>
  </si>
  <si>
    <t>3. Facturas y documentos justificativos sin obligación reconocida al finalizar el trimestre</t>
  </si>
  <si>
    <t>3.2. Número de días desde su entrada en registro</t>
  </si>
  <si>
    <t>Facturas y documentos justificativos
sin obligación reconocida</t>
  </si>
  <si>
    <t>1. Pagos realizados en el trimestre. Plazo desde el reconocimiento de la obligación.</t>
  </si>
  <si>
    <t>2. Facturas pendientes de pago. Plazo desde el reconocimiento de la obligación.</t>
  </si>
  <si>
    <t>Facturas pagadas en el trimestre</t>
  </si>
  <si>
    <t>Número expediente</t>
  </si>
  <si>
    <t>Fecha fra</t>
  </si>
  <si>
    <t>Número fra</t>
  </si>
  <si>
    <t>Código Tercero</t>
  </si>
  <si>
    <t>Tercero</t>
  </si>
  <si>
    <t>Concepto</t>
  </si>
  <si>
    <t>Fecha Registro</t>
  </si>
  <si>
    <t>Fecha Descent.</t>
  </si>
  <si>
    <t>Fecha O</t>
  </si>
  <si>
    <t>Fecha P</t>
  </si>
  <si>
    <t>Plazo R-O</t>
  </si>
  <si>
    <t>Plazo
 O-P</t>
  </si>
  <si>
    <t>Plazo
 R-P</t>
  </si>
  <si>
    <t>Artic</t>
  </si>
  <si>
    <t>ponderación 1</t>
  </si>
  <si>
    <t>ponderación 2</t>
  </si>
  <si>
    <t>En plazo</t>
  </si>
  <si>
    <t>Plazo
 O
 - fin Trim</t>
  </si>
  <si>
    <t>Plazo
 R 
  - Fin Trim</t>
  </si>
  <si>
    <t>Fin trim.</t>
  </si>
  <si>
    <t>Las que se quedan sin pagar en el trimestre</t>
  </si>
  <si>
    <t>OARSOALDEA</t>
  </si>
  <si>
    <t>FCC2300013</t>
  </si>
  <si>
    <t>FVC2300002</t>
  </si>
  <si>
    <t>FCC2300023</t>
  </si>
  <si>
    <t>01/2023</t>
  </si>
  <si>
    <t>FCC2300025</t>
  </si>
  <si>
    <t>0000052810/2023</t>
  </si>
  <si>
    <t>FCC2300038</t>
  </si>
  <si>
    <t>FVC2300001</t>
  </si>
  <si>
    <t>FCC2300045</t>
  </si>
  <si>
    <t>N2223013227</t>
  </si>
  <si>
    <t>FCC2300046</t>
  </si>
  <si>
    <t>N2223013159</t>
  </si>
  <si>
    <t>FCC2300047</t>
  </si>
  <si>
    <t>02/2023</t>
  </si>
  <si>
    <t>FCC2300055</t>
  </si>
  <si>
    <t>FHA42998</t>
  </si>
  <si>
    <t>FCC2300104</t>
  </si>
  <si>
    <t>03/2023</t>
  </si>
  <si>
    <t>FCC2300119</t>
  </si>
  <si>
    <t>0000172240/2023</t>
  </si>
  <si>
    <t>FCC2300133</t>
  </si>
  <si>
    <t>FHB67009</t>
  </si>
  <si>
    <t>FCC2300134</t>
  </si>
  <si>
    <t>FHA69645</t>
  </si>
  <si>
    <t>FCC2300138</t>
  </si>
  <si>
    <t>A2223183178</t>
  </si>
  <si>
    <t>FCC2300169</t>
  </si>
  <si>
    <t>0000124195/2023</t>
  </si>
  <si>
    <t>FCC2300188</t>
  </si>
  <si>
    <t>FVC2300003</t>
  </si>
  <si>
    <t>FCC2300275</t>
  </si>
  <si>
    <t>A2223202579</t>
  </si>
  <si>
    <t>FCC2300042</t>
  </si>
  <si>
    <t>A/000264</t>
  </si>
  <si>
    <t>FCC2300054</t>
  </si>
  <si>
    <t>CONTRATO 182</t>
  </si>
  <si>
    <t>FCC2300076</t>
  </si>
  <si>
    <t>CONTRATO 359</t>
  </si>
  <si>
    <t>FCC2300079</t>
  </si>
  <si>
    <t>A/000679</t>
  </si>
  <si>
    <t>FCC2300082</t>
  </si>
  <si>
    <t>0302302FV0204</t>
  </si>
  <si>
    <t>FCC2300083</t>
  </si>
  <si>
    <t>C23/167</t>
  </si>
  <si>
    <t>FCC2300084</t>
  </si>
  <si>
    <t>A/000701</t>
  </si>
  <si>
    <t>FCC2300095</t>
  </si>
  <si>
    <t>000118</t>
  </si>
  <si>
    <t>FCC2300103</t>
  </si>
  <si>
    <t>62/2023</t>
  </si>
  <si>
    <t>FCC2300111</t>
  </si>
  <si>
    <t>168/2023</t>
  </si>
  <si>
    <t>FCC2300128</t>
  </si>
  <si>
    <t>B2587727</t>
  </si>
  <si>
    <t>FCC2300129</t>
  </si>
  <si>
    <t>B2565435</t>
  </si>
  <si>
    <t>FCC2300130</t>
  </si>
  <si>
    <t>B2561420</t>
  </si>
  <si>
    <t>FCC2300131</t>
  </si>
  <si>
    <t>B2560201</t>
  </si>
  <si>
    <t>FCC2300173</t>
  </si>
  <si>
    <t>A/000833</t>
  </si>
  <si>
    <t>FCC2300174</t>
  </si>
  <si>
    <t>A/000830</t>
  </si>
  <si>
    <t>FCC2300175</t>
  </si>
  <si>
    <t>A/000832</t>
  </si>
  <si>
    <t>FCC2300183</t>
  </si>
  <si>
    <t>221123</t>
  </si>
  <si>
    <t>FCC2300184</t>
  </si>
  <si>
    <t>4301818</t>
  </si>
  <si>
    <t>FCC2300185</t>
  </si>
  <si>
    <t>11031</t>
  </si>
  <si>
    <t>FCC2300186</t>
  </si>
  <si>
    <t>23FJI10631</t>
  </si>
  <si>
    <t>FCC2300189</t>
  </si>
  <si>
    <t>4300729</t>
  </si>
  <si>
    <t>FCC2300192</t>
  </si>
  <si>
    <t>23200142</t>
  </si>
  <si>
    <t>FCC2300210</t>
  </si>
  <si>
    <t>237/2023</t>
  </si>
  <si>
    <t>FCC2300217</t>
  </si>
  <si>
    <t>03/47</t>
  </si>
  <si>
    <t>FCC2300271</t>
  </si>
  <si>
    <t>2500506/AM</t>
  </si>
  <si>
    <t>FCC2300014</t>
  </si>
  <si>
    <t>FS2/2023/00000890</t>
  </si>
  <si>
    <t>FCC2300030</t>
  </si>
  <si>
    <t>GV4745</t>
  </si>
  <si>
    <t>FCC2300039</t>
  </si>
  <si>
    <t>GV6090</t>
  </si>
  <si>
    <t>FCC2300043</t>
  </si>
  <si>
    <t>G2300062</t>
  </si>
  <si>
    <t>FCC2300050</t>
  </si>
  <si>
    <t>FS2/2023/00002659</t>
  </si>
  <si>
    <t>FCC2300051</t>
  </si>
  <si>
    <t>FS2/2023/00002656</t>
  </si>
  <si>
    <t>FCC2300052</t>
  </si>
  <si>
    <t>FS2/2023/00002077</t>
  </si>
  <si>
    <t>FCC2300053</t>
  </si>
  <si>
    <t>FS2/2023/00001458</t>
  </si>
  <si>
    <t>FCC2300081</t>
  </si>
  <si>
    <t>GX2217</t>
  </si>
  <si>
    <t>FCC2300091</t>
  </si>
  <si>
    <t>FS2/2023/00003249</t>
  </si>
  <si>
    <t>FCC2300092</t>
  </si>
  <si>
    <t>FS2/2023/00003253</t>
  </si>
  <si>
    <t>FCC2300093</t>
  </si>
  <si>
    <t>FS2/2023/00003783</t>
  </si>
  <si>
    <t>FCC2300094</t>
  </si>
  <si>
    <t>FS2/2023/00003791</t>
  </si>
  <si>
    <t>FCC2300105</t>
  </si>
  <si>
    <t>FS2/2023/00004394</t>
  </si>
  <si>
    <t>FCC2300106</t>
  </si>
  <si>
    <t>FS2/2023/00004383</t>
  </si>
  <si>
    <t>FCC2300107</t>
  </si>
  <si>
    <t>2329</t>
  </si>
  <si>
    <t>FCC2300108</t>
  </si>
  <si>
    <t>1719</t>
  </si>
  <si>
    <t>FCC2300109</t>
  </si>
  <si>
    <t>GIP-20230067</t>
  </si>
  <si>
    <t>FCC2300110</t>
  </si>
  <si>
    <t>INV-ES-777977935-2023-25</t>
  </si>
  <si>
    <t>FCC2300136</t>
  </si>
  <si>
    <t>7090109062</t>
  </si>
  <si>
    <t>FCC2300137</t>
  </si>
  <si>
    <t>202300493</t>
  </si>
  <si>
    <t>FCC2300182</t>
  </si>
  <si>
    <t>FS2/2023/00005000</t>
  </si>
  <si>
    <t>FCC2300200</t>
  </si>
  <si>
    <t>4968 VN</t>
  </si>
  <si>
    <t>FCC2300201</t>
  </si>
  <si>
    <t>4973 VN</t>
  </si>
  <si>
    <t>FCC2300208</t>
  </si>
  <si>
    <t>AA23000941</t>
  </si>
  <si>
    <t>FCC2300218</t>
  </si>
  <si>
    <t>117/23</t>
  </si>
  <si>
    <t>FCC2300219</t>
  </si>
  <si>
    <t>118/23</t>
  </si>
  <si>
    <t>FCC2300012</t>
  </si>
  <si>
    <t>A-0000097</t>
  </si>
  <si>
    <t>FCC2300016</t>
  </si>
  <si>
    <t>B-0000013</t>
  </si>
  <si>
    <t>FCC2300020</t>
  </si>
  <si>
    <t>P230000218</t>
  </si>
  <si>
    <t>FCC2300021</t>
  </si>
  <si>
    <t>P230000219</t>
  </si>
  <si>
    <t>FCC2300022</t>
  </si>
  <si>
    <t>2022/29</t>
  </si>
  <si>
    <t>FCC2300024</t>
  </si>
  <si>
    <t>HA-3450</t>
  </si>
  <si>
    <t>FCC2300027</t>
  </si>
  <si>
    <t>FBADS-700-102300595</t>
  </si>
  <si>
    <t>FCC2300029</t>
  </si>
  <si>
    <t>FBADS-700-102309340</t>
  </si>
  <si>
    <t>FCC2300031</t>
  </si>
  <si>
    <t>2022/25</t>
  </si>
  <si>
    <t>FCC2300032</t>
  </si>
  <si>
    <t>S 2023004</t>
  </si>
  <si>
    <t>FCC2300033</t>
  </si>
  <si>
    <t>S 2023003</t>
  </si>
  <si>
    <t>FCC2300035</t>
  </si>
  <si>
    <t>23.001</t>
  </si>
  <si>
    <t>FCC2300036</t>
  </si>
  <si>
    <t>TB-2023-F 1</t>
  </si>
  <si>
    <t>FCC2300040</t>
  </si>
  <si>
    <t>00003812</t>
  </si>
  <si>
    <t>FCC2300041</t>
  </si>
  <si>
    <t>00003793</t>
  </si>
  <si>
    <t>FCC2300044</t>
  </si>
  <si>
    <t>GIP-20230021</t>
  </si>
  <si>
    <t>FCC2300048</t>
  </si>
  <si>
    <t>230.021</t>
  </si>
  <si>
    <t>FCC2300049</t>
  </si>
  <si>
    <t>230.063</t>
  </si>
  <si>
    <t>FCC2300057</t>
  </si>
  <si>
    <t>TB-2023-F 5</t>
  </si>
  <si>
    <t>FCC2300058</t>
  </si>
  <si>
    <t>23010215</t>
  </si>
  <si>
    <t>FCC2300059</t>
  </si>
  <si>
    <t>23010212</t>
  </si>
  <si>
    <t>FCC2300060</t>
  </si>
  <si>
    <t>23010213</t>
  </si>
  <si>
    <t>FCC2300061</t>
  </si>
  <si>
    <t>SO-230406</t>
  </si>
  <si>
    <t>FCC2300062</t>
  </si>
  <si>
    <t>SO-230182</t>
  </si>
  <si>
    <t>FCC2300063</t>
  </si>
  <si>
    <t>23010214</t>
  </si>
  <si>
    <t>FCC2300064</t>
  </si>
  <si>
    <t>23010205</t>
  </si>
  <si>
    <t>FCC2300065</t>
  </si>
  <si>
    <t>23010206</t>
  </si>
  <si>
    <t>FCC2300066</t>
  </si>
  <si>
    <t>23010207</t>
  </si>
  <si>
    <t>FCC2300067</t>
  </si>
  <si>
    <t>23010210</t>
  </si>
  <si>
    <t>FCC2300068</t>
  </si>
  <si>
    <t>23010209</t>
  </si>
  <si>
    <t>FCC2300069</t>
  </si>
  <si>
    <t>23010211</t>
  </si>
  <si>
    <t>FCC2300070</t>
  </si>
  <si>
    <t>23010208</t>
  </si>
  <si>
    <t>FCC2300071</t>
  </si>
  <si>
    <t>28-A3U1-079584</t>
  </si>
  <si>
    <t>FCC2300072</t>
  </si>
  <si>
    <t>TA6Z60054679</t>
  </si>
  <si>
    <t>FCC2300073</t>
  </si>
  <si>
    <t>28-B3U1-088009</t>
  </si>
  <si>
    <t>FCC2300074</t>
  </si>
  <si>
    <t>TA70O0054356</t>
  </si>
  <si>
    <t>FCC2300077</t>
  </si>
  <si>
    <t>Ventas/2023/0000559</t>
  </si>
  <si>
    <t>FCC2300086</t>
  </si>
  <si>
    <t>P230000363</t>
  </si>
  <si>
    <t>FCC2300087</t>
  </si>
  <si>
    <t>Z/2023/0003</t>
  </si>
  <si>
    <t>FCC2300088</t>
  </si>
  <si>
    <t>F23006</t>
  </si>
  <si>
    <t>FCC2300096</t>
  </si>
  <si>
    <t>FCC2300097</t>
  </si>
  <si>
    <t>11/2023/1.302</t>
  </si>
  <si>
    <t>FCC2300098</t>
  </si>
  <si>
    <t>BORME/2023/919</t>
  </si>
  <si>
    <t>FCC2300099</t>
  </si>
  <si>
    <t>23/11</t>
  </si>
  <si>
    <t>FCC2300100</t>
  </si>
  <si>
    <t>TB-2023-F 30</t>
  </si>
  <si>
    <t>FCC2300101</t>
  </si>
  <si>
    <t>TB-2023-F 29</t>
  </si>
  <si>
    <t>FCC2300102</t>
  </si>
  <si>
    <t>2022/37</t>
  </si>
  <si>
    <t>FCC2300112</t>
  </si>
  <si>
    <t>4-000016</t>
  </si>
  <si>
    <t>FCC2300113</t>
  </si>
  <si>
    <t>230.179</t>
  </si>
  <si>
    <t>FCC2300114</t>
  </si>
  <si>
    <t>TA74C0060058</t>
  </si>
  <si>
    <t>FCC2300115</t>
  </si>
  <si>
    <t>28-C3U1-079789</t>
  </si>
  <si>
    <t>FCC2300116</t>
  </si>
  <si>
    <t>230.138</t>
  </si>
  <si>
    <t>FCC2300117</t>
  </si>
  <si>
    <t>G2300131</t>
  </si>
  <si>
    <t>FCC2300121</t>
  </si>
  <si>
    <t>0268ECV</t>
  </si>
  <si>
    <t>FCC2300122</t>
  </si>
  <si>
    <t>E0300M8JTI</t>
  </si>
  <si>
    <t>FCC2300123</t>
  </si>
  <si>
    <t>E0300M8CS0</t>
  </si>
  <si>
    <t>FCC2300124</t>
  </si>
  <si>
    <t>E0300LU79F</t>
  </si>
  <si>
    <t>FCC2300125</t>
  </si>
  <si>
    <t>E0300LU1KB</t>
  </si>
  <si>
    <t>FCC2300126</t>
  </si>
  <si>
    <t>026JLR2</t>
  </si>
  <si>
    <t>FCC2300132</t>
  </si>
  <si>
    <t>TB-2023-F 7</t>
  </si>
  <si>
    <t>FCC2300135</t>
  </si>
  <si>
    <t>FCC2300139</t>
  </si>
  <si>
    <t>F000002779</t>
  </si>
  <si>
    <t>FCC2300140</t>
  </si>
  <si>
    <t>23-S-831</t>
  </si>
  <si>
    <t>FCC2300141</t>
  </si>
  <si>
    <t>00003758</t>
  </si>
  <si>
    <t>FCC2300142</t>
  </si>
  <si>
    <t>21230227030010953</t>
  </si>
  <si>
    <t>FCC2300143</t>
  </si>
  <si>
    <t>21230227030010954</t>
  </si>
  <si>
    <t>FCC2300144</t>
  </si>
  <si>
    <t>G2300147</t>
  </si>
  <si>
    <t>FCC2300145</t>
  </si>
  <si>
    <t>21230130030011145</t>
  </si>
  <si>
    <t>FCC2300146</t>
  </si>
  <si>
    <t>21230130030011301</t>
  </si>
  <si>
    <t>FCC2300147</t>
  </si>
  <si>
    <t>21230130030018953</t>
  </si>
  <si>
    <t>FCC2300148</t>
  </si>
  <si>
    <t>21230130030000029</t>
  </si>
  <si>
    <t>FCC2300149</t>
  </si>
  <si>
    <t>21230130030008902</t>
  </si>
  <si>
    <t>FCC2300150</t>
  </si>
  <si>
    <t>21230130030009845</t>
  </si>
  <si>
    <t>FCC2300151</t>
  </si>
  <si>
    <t>21230130030011144</t>
  </si>
  <si>
    <t>FCC2300152</t>
  </si>
  <si>
    <t>21230130030011146</t>
  </si>
  <si>
    <t>FCC2300153</t>
  </si>
  <si>
    <t>21230130030000023</t>
  </si>
  <si>
    <t>FCC2300154</t>
  </si>
  <si>
    <t>2123027030010952</t>
  </si>
  <si>
    <t>FCC2300155</t>
  </si>
  <si>
    <t>21230227030018776</t>
  </si>
  <si>
    <t>FCC2300156</t>
  </si>
  <si>
    <t>21230227030019701</t>
  </si>
  <si>
    <t>FCC2300157</t>
  </si>
  <si>
    <t>21230227030011109</t>
  </si>
  <si>
    <t>FCC2300158</t>
  </si>
  <si>
    <t>21230227030009615</t>
  </si>
  <si>
    <t>FCC2300159</t>
  </si>
  <si>
    <t>21230227030003894</t>
  </si>
  <si>
    <t>FCC2300160</t>
  </si>
  <si>
    <t>21230227030008461</t>
  </si>
  <si>
    <t>FCC2300161</t>
  </si>
  <si>
    <t>21230227030000033</t>
  </si>
  <si>
    <t>FCC2300162</t>
  </si>
  <si>
    <t>21230227030000026</t>
  </si>
  <si>
    <t>FCC2300163</t>
  </si>
  <si>
    <t>21230227030000027</t>
  </si>
  <si>
    <t>FCC2300164</t>
  </si>
  <si>
    <t>21230227030000025</t>
  </si>
  <si>
    <t>FCC2300165</t>
  </si>
  <si>
    <t>21230130030019652</t>
  </si>
  <si>
    <t>FCC2300166</t>
  </si>
  <si>
    <t>09230130030003051</t>
  </si>
  <si>
    <t>FCC2300167</t>
  </si>
  <si>
    <t>09230227030002704</t>
  </si>
  <si>
    <t>FCC2300168</t>
  </si>
  <si>
    <t>SUFN/2300344</t>
  </si>
  <si>
    <t>FCC2300170</t>
  </si>
  <si>
    <t>23-S-321</t>
  </si>
  <si>
    <t>FCC2300171</t>
  </si>
  <si>
    <t>09230119010107978</t>
  </si>
  <si>
    <t>FCC2300172</t>
  </si>
  <si>
    <t>SO-230181</t>
  </si>
  <si>
    <t>FCC2300187</t>
  </si>
  <si>
    <t>2022/59</t>
  </si>
  <si>
    <t>FCC2300191</t>
  </si>
  <si>
    <t>F23/162</t>
  </si>
  <si>
    <t>FCC2300193</t>
  </si>
  <si>
    <t>FMR23-000077</t>
  </si>
  <si>
    <t>FCC2300194</t>
  </si>
  <si>
    <t>0000952</t>
  </si>
  <si>
    <t>FCC2300195</t>
  </si>
  <si>
    <t>0000953</t>
  </si>
  <si>
    <t>FCC2300197</t>
  </si>
  <si>
    <t>2023/780</t>
  </si>
  <si>
    <t>FCC2300198</t>
  </si>
  <si>
    <t>FBADS-700-102405779</t>
  </si>
  <si>
    <t>FCC2300199</t>
  </si>
  <si>
    <t>FBADS-700-102395220</t>
  </si>
  <si>
    <t>FCC2300203</t>
  </si>
  <si>
    <t>09230215010117122</t>
  </si>
  <si>
    <t>FCC2300204</t>
  </si>
  <si>
    <t>23/29</t>
  </si>
  <si>
    <t>FCC2300205</t>
  </si>
  <si>
    <t>21230130030004273</t>
  </si>
  <si>
    <t>FCC2300206</t>
  </si>
  <si>
    <t>21230130030000021</t>
  </si>
  <si>
    <t>FCC2300207</t>
  </si>
  <si>
    <t>21230130030000022</t>
  </si>
  <si>
    <t>FCC2300211</t>
  </si>
  <si>
    <t>22/1052</t>
  </si>
  <si>
    <t>FCC2300212</t>
  </si>
  <si>
    <t>411/23</t>
  </si>
  <si>
    <t>FCC2300213</t>
  </si>
  <si>
    <t>261/23</t>
  </si>
  <si>
    <t>FCC2300215</t>
  </si>
  <si>
    <t>0002378</t>
  </si>
  <si>
    <t>FCC2300216</t>
  </si>
  <si>
    <t>0002379</t>
  </si>
  <si>
    <t>FCC2300222</t>
  </si>
  <si>
    <t>F23012</t>
  </si>
  <si>
    <t>FCC2300224</t>
  </si>
  <si>
    <t>0162303FV0142</t>
  </si>
  <si>
    <t>FCC2300228</t>
  </si>
  <si>
    <t>P2200474</t>
  </si>
  <si>
    <t>FCC2300229</t>
  </si>
  <si>
    <t>P2300046</t>
  </si>
  <si>
    <t>FCC2300230</t>
  </si>
  <si>
    <t>FV23-00093</t>
  </si>
  <si>
    <t>FCC2300231</t>
  </si>
  <si>
    <t>F23015</t>
  </si>
  <si>
    <t>FCC2300232</t>
  </si>
  <si>
    <t>01/0102/FOR/000084/2023</t>
  </si>
  <si>
    <t>FCC2300234</t>
  </si>
  <si>
    <t>5306610</t>
  </si>
  <si>
    <t>FCC2300235</t>
  </si>
  <si>
    <t>5310425</t>
  </si>
  <si>
    <t>FCC2300237</t>
  </si>
  <si>
    <t>B 22001309</t>
  </si>
  <si>
    <t>FCC2300242</t>
  </si>
  <si>
    <t>F23013</t>
  </si>
  <si>
    <t>FCC2300243</t>
  </si>
  <si>
    <t>230.255</t>
  </si>
  <si>
    <t>FCC2300244</t>
  </si>
  <si>
    <t>230.296</t>
  </si>
  <si>
    <t>FCC2300245</t>
  </si>
  <si>
    <t>230.353</t>
  </si>
  <si>
    <t>FCC2300247</t>
  </si>
  <si>
    <t>FV/40030246</t>
  </si>
  <si>
    <t>FCC2300281</t>
  </si>
  <si>
    <t>V20230036</t>
  </si>
  <si>
    <t>FCC2300314</t>
  </si>
  <si>
    <t>5171 VNFA2023024</t>
  </si>
  <si>
    <t>FCC2300017</t>
  </si>
  <si>
    <t>174/2022</t>
  </si>
  <si>
    <t>FCC2300019</t>
  </si>
  <si>
    <t>13/2023</t>
  </si>
  <si>
    <t>FCC2300034</t>
  </si>
  <si>
    <t>FCC2300037</t>
  </si>
  <si>
    <t>TB-2023-F 12</t>
  </si>
  <si>
    <t>FCC2300056</t>
  </si>
  <si>
    <t>TB-2023-F 8</t>
  </si>
  <si>
    <t>FCC2300078</t>
  </si>
  <si>
    <t>AL05-2023</t>
  </si>
  <si>
    <t>FCC2300090</t>
  </si>
  <si>
    <t>000141</t>
  </si>
  <si>
    <t>FCC2300118</t>
  </si>
  <si>
    <t>24/23</t>
  </si>
  <si>
    <t>FCC2300127</t>
  </si>
  <si>
    <t>20230034</t>
  </si>
  <si>
    <t>FCC2300181</t>
  </si>
  <si>
    <t>4972 VN</t>
  </si>
  <si>
    <t>FCC2300190</t>
  </si>
  <si>
    <t>2023/21/000444</t>
  </si>
  <si>
    <t>FCC2300196</t>
  </si>
  <si>
    <t>TB-2023-F 39</t>
  </si>
  <si>
    <t>FCC2300223</t>
  </si>
  <si>
    <t>00000088</t>
  </si>
  <si>
    <t>FCC2300280</t>
  </si>
  <si>
    <t>V20230035</t>
  </si>
  <si>
    <t>FCC2300282</t>
  </si>
  <si>
    <t>INV/2023/0036/36</t>
  </si>
  <si>
    <t>FCC2300316</t>
  </si>
  <si>
    <t>12023/089806</t>
  </si>
  <si>
    <t>FCC2300317</t>
  </si>
  <si>
    <t>12023/034648</t>
  </si>
  <si>
    <t>FCC2300318</t>
  </si>
  <si>
    <t>EC/2256872</t>
  </si>
  <si>
    <t>FCC2300319</t>
  </si>
  <si>
    <t>12023/091412</t>
  </si>
  <si>
    <t>FCC2300214</t>
  </si>
  <si>
    <t>CONTRATO 528</t>
  </si>
  <si>
    <t>FCC2300249</t>
  </si>
  <si>
    <t>4302767</t>
  </si>
  <si>
    <t>FCC2300262</t>
  </si>
  <si>
    <t>23044</t>
  </si>
  <si>
    <t>FCC2300263</t>
  </si>
  <si>
    <t>C23/221</t>
  </si>
  <si>
    <t>FCC2300274</t>
  </si>
  <si>
    <t>INV-2023-11050</t>
  </si>
  <si>
    <t>FCC2300209</t>
  </si>
  <si>
    <t>2936</t>
  </si>
  <si>
    <t>FCC2300220</t>
  </si>
  <si>
    <t>FS2/2023/00006201</t>
  </si>
  <si>
    <t>FCC2300221</t>
  </si>
  <si>
    <t>FS2/2023/00006174</t>
  </si>
  <si>
    <t>FCC2300238</t>
  </si>
  <si>
    <t>3550</t>
  </si>
  <si>
    <t>FCC2300239</t>
  </si>
  <si>
    <t>FS2/2023/00006767</t>
  </si>
  <si>
    <t>FCC2300240</t>
  </si>
  <si>
    <t>FS2/2023/00007252</t>
  </si>
  <si>
    <t>FCC2300241</t>
  </si>
  <si>
    <t>FS2/2023/00007245</t>
  </si>
  <si>
    <t>FCC2300254</t>
  </si>
  <si>
    <t>7250196222</t>
  </si>
  <si>
    <t>FCC2300272</t>
  </si>
  <si>
    <t>202300865</t>
  </si>
  <si>
    <t>FCC2300305</t>
  </si>
  <si>
    <t>5249 VN</t>
  </si>
  <si>
    <t>FCC2300310</t>
  </si>
  <si>
    <t>5171 VN</t>
  </si>
  <si>
    <t>FCC2300246</t>
  </si>
  <si>
    <t>0004/2023</t>
  </si>
  <si>
    <t>FCC2300248</t>
  </si>
  <si>
    <t>B-0000053</t>
  </si>
  <si>
    <t>FCC2300258</t>
  </si>
  <si>
    <t>GIP-20230120</t>
  </si>
  <si>
    <t>FCC2300259</t>
  </si>
  <si>
    <t>FA2023041</t>
  </si>
  <si>
    <t>FCC2300260</t>
  </si>
  <si>
    <t>23-S-1.382</t>
  </si>
  <si>
    <t>FCC2300261</t>
  </si>
  <si>
    <t>G2300223</t>
  </si>
  <si>
    <t>FCC2300264</t>
  </si>
  <si>
    <t>490/23</t>
  </si>
  <si>
    <t>FCC2300266</t>
  </si>
  <si>
    <t>474/23</t>
  </si>
  <si>
    <t>FCC2300265</t>
  </si>
  <si>
    <t>F23022</t>
  </si>
  <si>
    <t>FCC2300267</t>
  </si>
  <si>
    <t>F23021</t>
  </si>
  <si>
    <t>FCC2300268</t>
  </si>
  <si>
    <t>23/197</t>
  </si>
  <si>
    <t>FCC2300269</t>
  </si>
  <si>
    <t>S2022188</t>
  </si>
  <si>
    <t>FCC2300270</t>
  </si>
  <si>
    <t>S2022189</t>
  </si>
  <si>
    <t>FCC2300273</t>
  </si>
  <si>
    <t>F000002845</t>
  </si>
  <si>
    <t>FCC2300276</t>
  </si>
  <si>
    <t>F23020</t>
  </si>
  <si>
    <t>FCC2300284</t>
  </si>
  <si>
    <t>21230330030000023</t>
  </si>
  <si>
    <t>FCC2300285</t>
  </si>
  <si>
    <t>21230330030018335</t>
  </si>
  <si>
    <t>FCC2300286</t>
  </si>
  <si>
    <t>21230330030019275</t>
  </si>
  <si>
    <t>FCC2300287</t>
  </si>
  <si>
    <t>21230330030010908</t>
  </si>
  <si>
    <t>FCC2300288</t>
  </si>
  <si>
    <t>21230330030010909</t>
  </si>
  <si>
    <t>FCC2300289</t>
  </si>
  <si>
    <t>21230330030008493</t>
  </si>
  <si>
    <t>FCC2300290</t>
  </si>
  <si>
    <t>21230330030010910</t>
  </si>
  <si>
    <t>FCC2300291</t>
  </si>
  <si>
    <t>21230330030000031</t>
  </si>
  <si>
    <t>FCC2300292</t>
  </si>
  <si>
    <t>21230330030000024</t>
  </si>
  <si>
    <t>FCC2300293</t>
  </si>
  <si>
    <t>09230330030002998</t>
  </si>
  <si>
    <t>FCC2300294</t>
  </si>
  <si>
    <t>21230330030000022</t>
  </si>
  <si>
    <t>FCC2300295</t>
  </si>
  <si>
    <t>21230330030011068</t>
  </si>
  <si>
    <t>FCC2300296</t>
  </si>
  <si>
    <t>21230330030009404</t>
  </si>
  <si>
    <t>FCC2300297</t>
  </si>
  <si>
    <t>21230330030003673</t>
  </si>
  <si>
    <t>FCC2300301</t>
  </si>
  <si>
    <t>S 2023025</t>
  </si>
  <si>
    <t>FCC2300302</t>
  </si>
  <si>
    <t>S 2023026</t>
  </si>
  <si>
    <t>FCC2300303</t>
  </si>
  <si>
    <t>FA23/00098</t>
  </si>
  <si>
    <t>FCC2300304</t>
  </si>
  <si>
    <t>F23/591</t>
  </si>
  <si>
    <t>FCC2300315</t>
  </si>
  <si>
    <t>INPL/23/003/27/00539</t>
  </si>
  <si>
    <t>FCC2300233</t>
  </si>
  <si>
    <t>ESINV23000049544</t>
  </si>
  <si>
    <t>FCC2300252</t>
  </si>
  <si>
    <t>TB-2023-F 14</t>
  </si>
  <si>
    <t>FCC2300255</t>
  </si>
  <si>
    <t>2023/028</t>
  </si>
  <si>
    <t>FCC2300257</t>
  </si>
  <si>
    <t>2023-0008</t>
  </si>
  <si>
    <t>FCC2300306</t>
  </si>
  <si>
    <t>5204 VN</t>
  </si>
  <si>
    <t>FCC2300307</t>
  </si>
  <si>
    <t>5198 VN</t>
  </si>
  <si>
    <t>FCC2300308</t>
  </si>
  <si>
    <t>5188 VN</t>
  </si>
  <si>
    <t>FCC2300309</t>
  </si>
  <si>
    <t>5187 VN</t>
  </si>
  <si>
    <t>FCC2300311</t>
  </si>
  <si>
    <t>5153 VN</t>
  </si>
  <si>
    <t>FCC2300312</t>
  </si>
  <si>
    <t>5122 VN</t>
  </si>
  <si>
    <t>FCC2300313</t>
  </si>
  <si>
    <t>5105 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</si>
</sst>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44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2"/>
        <bgColor indexed="9"/>
      </patternFill>
    </fill>
  </fills>
  <borders count="6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thin">
        <color indexed="55"/>
      </bottom>
      <diagonal/>
    </border>
    <border>
      <left/>
      <right style="medium">
        <color indexed="23"/>
      </right>
      <top/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/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thin">
        <color indexed="55"/>
      </top>
      <bottom/>
      <diagonal/>
    </border>
    <border>
      <left/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medium">
        <color indexed="23"/>
      </right>
      <top/>
      <bottom style="medium">
        <color indexed="23"/>
      </bottom>
      <diagonal/>
    </border>
    <border>
      <left/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/>
      <bottom/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23"/>
      </left>
      <right/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medium">
        <color indexed="23"/>
      </left>
      <right/>
      <top/>
      <bottom style="thin">
        <color indexed="55"/>
      </bottom>
      <diagonal/>
    </border>
    <border>
      <left style="medium">
        <color indexed="23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/>
      <top style="medium">
        <color indexed="23"/>
      </top>
      <bottom style="thin">
        <color indexed="55"/>
      </bottom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/>
      <diagonal/>
    </border>
    <border>
      <left style="thin">
        <color indexed="55"/>
      </left>
      <right style="medium">
        <color indexed="55"/>
      </right>
      <top style="medium">
        <color indexed="23"/>
      </top>
      <bottom/>
      <diagonal/>
    </border>
    <border>
      <left/>
      <right style="medium">
        <color indexed="55"/>
      </right>
      <top/>
      <bottom/>
      <diagonal/>
    </border>
    <border>
      <left style="medium">
        <color indexed="23"/>
      </left>
      <right/>
      <top style="hair">
        <color indexed="8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55"/>
      </left>
      <right style="medium">
        <color indexed="55"/>
      </right>
      <top style="medium">
        <color indexed="23"/>
      </top>
      <bottom style="thin">
        <color indexed="55"/>
      </bottom>
      <diagonal/>
    </border>
    <border>
      <left/>
      <right style="medium">
        <color indexed="55"/>
      </right>
      <top/>
      <bottom style="thin">
        <color indexed="55"/>
      </bottom>
      <diagonal/>
    </border>
    <border>
      <left style="medium">
        <color indexed="23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medium">
        <color indexed="55"/>
      </right>
      <top/>
      <bottom style="medium">
        <color indexed="23"/>
      </bottom>
      <diagonal/>
    </border>
    <border>
      <left/>
      <right style="medium">
        <color indexed="55"/>
      </right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thin">
        <color indexed="55"/>
      </bottom>
      <diagonal/>
    </border>
    <border>
      <left/>
      <right style="medium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9" fillId="0" borderId="0"/>
    <xf numFmtId="0" fontId="19" fillId="0" borderId="0"/>
    <xf numFmtId="0" fontId="2" fillId="0" borderId="0"/>
    <xf numFmtId="0" fontId="1" fillId="0" borderId="0"/>
  </cellStyleXfs>
  <cellXfs count="18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6" fillId="0" borderId="0" xfId="0" applyNumberFormat="1" applyFont="1"/>
    <xf numFmtId="4" fontId="4" fillId="0" borderId="0" xfId="0" applyNumberFormat="1" applyFont="1"/>
    <xf numFmtId="4" fontId="6" fillId="2" borderId="0" xfId="0" applyNumberFormat="1" applyFont="1" applyFill="1"/>
    <xf numFmtId="3" fontId="4" fillId="0" borderId="0" xfId="0" applyNumberFormat="1" applyFont="1"/>
    <xf numFmtId="3" fontId="6" fillId="2" borderId="0" xfId="0" applyNumberFormat="1" applyFont="1" applyFill="1" applyAlignment="1">
      <alignment horizontal="center" wrapText="1"/>
    </xf>
    <xf numFmtId="3" fontId="6" fillId="3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center" wrapText="1"/>
    </xf>
    <xf numFmtId="3" fontId="6" fillId="5" borderId="0" xfId="0" applyNumberFormat="1" applyFont="1" applyFill="1" applyAlignment="1">
      <alignment horizontal="center" wrapText="1"/>
    </xf>
    <xf numFmtId="164" fontId="4" fillId="0" borderId="0" xfId="0" applyNumberFormat="1" applyFont="1"/>
    <xf numFmtId="164" fontId="6" fillId="2" borderId="0" xfId="0" applyNumberFormat="1" applyFont="1" applyFill="1" applyAlignment="1">
      <alignment horizontal="center" wrapText="1"/>
    </xf>
    <xf numFmtId="164" fontId="6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" fontId="6" fillId="7" borderId="3" xfId="0" applyNumberFormat="1" applyFont="1" applyFill="1" applyBorder="1"/>
    <xf numFmtId="3" fontId="6" fillId="7" borderId="3" xfId="0" applyNumberFormat="1" applyFont="1" applyFill="1" applyBorder="1"/>
    <xf numFmtId="4" fontId="4" fillId="0" borderId="4" xfId="0" applyNumberFormat="1" applyFont="1" applyBorder="1"/>
    <xf numFmtId="3" fontId="4" fillId="0" borderId="4" xfId="0" applyNumberFormat="1" applyFont="1" applyBorder="1"/>
    <xf numFmtId="3" fontId="6" fillId="7" borderId="4" xfId="0" applyNumberFormat="1" applyFont="1" applyFill="1" applyBorder="1"/>
    <xf numFmtId="4" fontId="6" fillId="7" borderId="4" xfId="0" applyNumberFormat="1" applyFont="1" applyFill="1" applyBorder="1"/>
    <xf numFmtId="4" fontId="4" fillId="0" borderId="5" xfId="0" applyNumberFormat="1" applyFont="1" applyBorder="1"/>
    <xf numFmtId="2" fontId="10" fillId="0" borderId="0" xfId="0" applyNumberFormat="1" applyFont="1"/>
    <xf numFmtId="4" fontId="4" fillId="0" borderId="3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4" fillId="0" borderId="6" xfId="0" applyNumberFormat="1" applyFont="1" applyBorder="1"/>
    <xf numFmtId="3" fontId="4" fillId="0" borderId="7" xfId="0" applyNumberFormat="1" applyFont="1" applyBorder="1"/>
    <xf numFmtId="2" fontId="4" fillId="0" borderId="4" xfId="0" applyNumberFormat="1" applyFont="1" applyBorder="1"/>
    <xf numFmtId="0" fontId="11" fillId="0" borderId="0" xfId="0" applyFont="1"/>
    <xf numFmtId="0" fontId="12" fillId="0" borderId="0" xfId="0" applyFont="1"/>
    <xf numFmtId="0" fontId="12" fillId="8" borderId="8" xfId="0" applyFont="1" applyFill="1" applyBorder="1"/>
    <xf numFmtId="0" fontId="12" fillId="8" borderId="0" xfId="0" applyFont="1" applyFill="1"/>
    <xf numFmtId="0" fontId="14" fillId="8" borderId="0" xfId="0" applyFont="1" applyFill="1" applyAlignment="1">
      <alignment horizontal="right"/>
    </xf>
    <xf numFmtId="0" fontId="12" fillId="8" borderId="7" xfId="0" applyFont="1" applyFill="1" applyBorder="1"/>
    <xf numFmtId="0" fontId="15" fillId="8" borderId="0" xfId="0" applyFont="1" applyFill="1" applyAlignment="1">
      <alignment horizontal="right"/>
    </xf>
    <xf numFmtId="0" fontId="15" fillId="6" borderId="0" xfId="0" applyFont="1" applyFill="1" applyAlignment="1">
      <alignment horizontal="center"/>
    </xf>
    <xf numFmtId="0" fontId="16" fillId="8" borderId="0" xfId="0" applyFont="1" applyFill="1"/>
    <xf numFmtId="0" fontId="12" fillId="8" borderId="9" xfId="0" applyFont="1" applyFill="1" applyBorder="1"/>
    <xf numFmtId="0" fontId="12" fillId="8" borderId="10" xfId="0" applyFont="1" applyFill="1" applyBorder="1"/>
    <xf numFmtId="0" fontId="15" fillId="8" borderId="10" xfId="0" applyFont="1" applyFill="1" applyBorder="1" applyAlignment="1">
      <alignment horizontal="right"/>
    </xf>
    <xf numFmtId="0" fontId="15" fillId="6" borderId="10" xfId="0" applyFont="1" applyFill="1" applyBorder="1" applyAlignment="1">
      <alignment horizontal="center"/>
    </xf>
    <xf numFmtId="0" fontId="16" fillId="8" borderId="10" xfId="0" applyFont="1" applyFill="1" applyBorder="1"/>
    <xf numFmtId="0" fontId="12" fillId="8" borderId="11" xfId="0" applyFont="1" applyFill="1" applyBorder="1"/>
    <xf numFmtId="0" fontId="14" fillId="0" borderId="0" xfId="0" applyFont="1" applyAlignment="1">
      <alignment horizontal="right"/>
    </xf>
    <xf numFmtId="0" fontId="6" fillId="6" borderId="12" xfId="0" applyFont="1" applyFill="1" applyBorder="1" applyAlignment="1">
      <alignment horizontal="center" vertical="center" wrapText="1"/>
    </xf>
    <xf numFmtId="3" fontId="6" fillId="7" borderId="13" xfId="0" applyNumberFormat="1" applyFont="1" applyFill="1" applyBorder="1"/>
    <xf numFmtId="3" fontId="6" fillId="7" borderId="7" xfId="0" applyNumberFormat="1" applyFont="1" applyFill="1" applyBorder="1"/>
    <xf numFmtId="0" fontId="6" fillId="6" borderId="14" xfId="0" applyFont="1" applyFill="1" applyBorder="1" applyAlignment="1">
      <alignment horizontal="center" vertical="center" wrapText="1"/>
    </xf>
    <xf numFmtId="4" fontId="6" fillId="7" borderId="15" xfId="0" applyNumberFormat="1" applyFont="1" applyFill="1" applyBorder="1"/>
    <xf numFmtId="4" fontId="6" fillId="7" borderId="16" xfId="0" applyNumberFormat="1" applyFont="1" applyFill="1" applyBorder="1"/>
    <xf numFmtId="4" fontId="4" fillId="0" borderId="17" xfId="0" applyNumberFormat="1" applyFont="1" applyBorder="1"/>
    <xf numFmtId="4" fontId="4" fillId="0" borderId="7" xfId="0" applyNumberFormat="1" applyFont="1" applyBorder="1"/>
    <xf numFmtId="0" fontId="6" fillId="6" borderId="14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3" fontId="4" fillId="0" borderId="15" xfId="0" applyNumberFormat="1" applyFont="1" applyBorder="1"/>
    <xf numFmtId="3" fontId="4" fillId="0" borderId="17" xfId="0" applyNumberFormat="1" applyFont="1" applyBorder="1"/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4" fontId="4" fillId="0" borderId="20" xfId="0" applyNumberFormat="1" applyFont="1" applyBorder="1"/>
    <xf numFmtId="4" fontId="6" fillId="7" borderId="21" xfId="0" applyNumberFormat="1" applyFont="1" applyFill="1" applyBorder="1"/>
    <xf numFmtId="4" fontId="6" fillId="7" borderId="22" xfId="0" applyNumberFormat="1" applyFont="1" applyFill="1" applyBorder="1"/>
    <xf numFmtId="3" fontId="6" fillId="7" borderId="23" xfId="0" applyNumberFormat="1" applyFont="1" applyFill="1" applyBorder="1"/>
    <xf numFmtId="4" fontId="6" fillId="7" borderId="24" xfId="0" applyNumberFormat="1" applyFont="1" applyFill="1" applyBorder="1"/>
    <xf numFmtId="3" fontId="6" fillId="7" borderId="24" xfId="0" applyNumberFormat="1" applyFont="1" applyFill="1" applyBorder="1"/>
    <xf numFmtId="4" fontId="4" fillId="0" borderId="25" xfId="0" applyNumberFormat="1" applyFont="1" applyBorder="1"/>
    <xf numFmtId="3" fontId="6" fillId="7" borderId="26" xfId="0" applyNumberFormat="1" applyFont="1" applyFill="1" applyBorder="1"/>
    <xf numFmtId="4" fontId="6" fillId="7" borderId="27" xfId="0" applyNumberFormat="1" applyFont="1" applyFill="1" applyBorder="1"/>
    <xf numFmtId="4" fontId="6" fillId="7" borderId="28" xfId="0" applyNumberFormat="1" applyFont="1" applyFill="1" applyBorder="1"/>
    <xf numFmtId="0" fontId="6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4" fontId="4" fillId="0" borderId="31" xfId="0" applyNumberFormat="1" applyFont="1" applyBorder="1"/>
    <xf numFmtId="4" fontId="6" fillId="7" borderId="23" xfId="0" applyNumberFormat="1" applyFont="1" applyFill="1" applyBorder="1"/>
    <xf numFmtId="4" fontId="6" fillId="7" borderId="32" xfId="0" applyNumberFormat="1" applyFont="1" applyFill="1" applyBorder="1"/>
    <xf numFmtId="2" fontId="4" fillId="0" borderId="31" xfId="0" applyNumberFormat="1" applyFont="1" applyBorder="1"/>
    <xf numFmtId="2" fontId="6" fillId="7" borderId="24" xfId="0" applyNumberFormat="1" applyFont="1" applyFill="1" applyBorder="1"/>
    <xf numFmtId="2" fontId="6" fillId="7" borderId="32" xfId="0" applyNumberFormat="1" applyFont="1" applyFill="1" applyBorder="1"/>
    <xf numFmtId="4" fontId="4" fillId="0" borderId="21" xfId="0" applyNumberFormat="1" applyFont="1" applyBorder="1"/>
    <xf numFmtId="4" fontId="4" fillId="0" borderId="22" xfId="0" applyNumberFormat="1" applyFont="1" applyBorder="1"/>
    <xf numFmtId="4" fontId="4" fillId="0" borderId="33" xfId="0" applyNumberFormat="1" applyFont="1" applyBorder="1"/>
    <xf numFmtId="3" fontId="4" fillId="0" borderId="34" xfId="0" applyNumberFormat="1" applyFont="1" applyBorder="1"/>
    <xf numFmtId="4" fontId="6" fillId="7" borderId="31" xfId="0" applyNumberFormat="1" applyFont="1" applyFill="1" applyBorder="1"/>
    <xf numFmtId="0" fontId="4" fillId="0" borderId="35" xfId="0" applyFont="1" applyBorder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4" fillId="9" borderId="34" xfId="0" applyNumberFormat="1" applyFont="1" applyFill="1" applyBorder="1"/>
    <xf numFmtId="4" fontId="4" fillId="9" borderId="36" xfId="0" applyNumberFormat="1" applyFont="1" applyFill="1" applyBorder="1"/>
    <xf numFmtId="3" fontId="4" fillId="9" borderId="11" xfId="0" applyNumberFormat="1" applyFont="1" applyFill="1" applyBorder="1"/>
    <xf numFmtId="4" fontId="4" fillId="9" borderId="5" xfId="0" applyNumberFormat="1" applyFont="1" applyFill="1" applyBorder="1"/>
    <xf numFmtId="3" fontId="4" fillId="9" borderId="5" xfId="0" applyNumberFormat="1" applyFont="1" applyFill="1" applyBorder="1"/>
    <xf numFmtId="4" fontId="4" fillId="9" borderId="31" xfId="0" applyNumberFormat="1" applyFont="1" applyFill="1" applyBorder="1"/>
    <xf numFmtId="0" fontId="4" fillId="0" borderId="37" xfId="0" applyFont="1" applyBorder="1"/>
    <xf numFmtId="0" fontId="4" fillId="0" borderId="38" xfId="0" applyFont="1" applyBorder="1"/>
    <xf numFmtId="4" fontId="17" fillId="0" borderId="0" xfId="0" applyNumberFormat="1" applyFont="1"/>
    <xf numFmtId="0" fontId="17" fillId="0" borderId="0" xfId="0" applyFont="1"/>
    <xf numFmtId="2" fontId="18" fillId="0" borderId="0" xfId="0" applyNumberFormat="1" applyFont="1"/>
    <xf numFmtId="0" fontId="4" fillId="0" borderId="39" xfId="0" applyFont="1" applyBorder="1"/>
    <xf numFmtId="14" fontId="4" fillId="10" borderId="0" xfId="0" applyNumberFormat="1" applyFont="1" applyFill="1"/>
    <xf numFmtId="49" fontId="19" fillId="0" borderId="0" xfId="1" applyNumberFormat="1"/>
    <xf numFmtId="14" fontId="19" fillId="0" borderId="0" xfId="1" applyNumberFormat="1"/>
    <xf numFmtId="4" fontId="19" fillId="0" borderId="0" xfId="1" applyNumberFormat="1"/>
    <xf numFmtId="164" fontId="20" fillId="0" borderId="0" xfId="0" applyNumberFormat="1" applyFont="1"/>
    <xf numFmtId="2" fontId="21" fillId="0" borderId="0" xfId="0" applyNumberFormat="1" applyFont="1"/>
    <xf numFmtId="0" fontId="19" fillId="0" borderId="0" xfId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4" fillId="0" borderId="67" xfId="0" applyFont="1" applyBorder="1"/>
    <xf numFmtId="4" fontId="4" fillId="0" borderId="67" xfId="0" applyNumberFormat="1" applyFont="1" applyBorder="1"/>
    <xf numFmtId="4" fontId="4" fillId="0" borderId="0" xfId="0" applyNumberFormat="1" applyFont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6" fillId="6" borderId="29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wrapText="1"/>
    </xf>
    <xf numFmtId="0" fontId="6" fillId="6" borderId="30" xfId="0" applyFont="1" applyFill="1" applyBorder="1" applyAlignment="1">
      <alignment horizontal="center" wrapText="1"/>
    </xf>
    <xf numFmtId="0" fontId="4" fillId="9" borderId="58" xfId="0" applyFont="1" applyFill="1" applyBorder="1" applyAlignment="1">
      <alignment horizontal="left" vertical="top" wrapText="1"/>
    </xf>
    <xf numFmtId="0" fontId="4" fillId="9" borderId="59" xfId="0" applyFont="1" applyFill="1" applyBorder="1" applyAlignment="1">
      <alignment horizontal="left" vertical="top" wrapText="1"/>
    </xf>
    <xf numFmtId="0" fontId="6" fillId="12" borderId="60" xfId="0" applyFont="1" applyFill="1" applyBorder="1" applyAlignment="1">
      <alignment horizontal="right"/>
    </xf>
    <xf numFmtId="0" fontId="6" fillId="12" borderId="61" xfId="0" applyFont="1" applyFill="1" applyBorder="1" applyAlignment="1">
      <alignment horizontal="right"/>
    </xf>
    <xf numFmtId="0" fontId="6" fillId="12" borderId="62" xfId="0" applyFont="1" applyFill="1" applyBorder="1" applyAlignment="1">
      <alignment horizontal="right"/>
    </xf>
    <xf numFmtId="0" fontId="6" fillId="6" borderId="42" xfId="0" applyFont="1" applyFill="1" applyBorder="1" applyAlignment="1">
      <alignment horizontal="center" wrapText="1"/>
    </xf>
    <xf numFmtId="0" fontId="4" fillId="0" borderId="18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1" xfId="0" applyFont="1" applyBorder="1"/>
    <xf numFmtId="0" fontId="4" fillId="0" borderId="45" xfId="0" applyFont="1" applyBorder="1"/>
    <xf numFmtId="0" fontId="6" fillId="6" borderId="63" xfId="0" applyFont="1" applyFill="1" applyBorder="1" applyAlignment="1">
      <alignment horizontal="center" wrapText="1"/>
    </xf>
    <xf numFmtId="0" fontId="4" fillId="0" borderId="64" xfId="0" applyFont="1" applyBorder="1"/>
    <xf numFmtId="0" fontId="4" fillId="0" borderId="5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6" fillId="6" borderId="66" xfId="0" applyFont="1" applyFill="1" applyBorder="1" applyAlignment="1">
      <alignment horizontal="center" wrapText="1"/>
    </xf>
    <xf numFmtId="0" fontId="6" fillId="6" borderId="51" xfId="0" applyFont="1" applyFill="1" applyBorder="1" applyAlignment="1">
      <alignment horizontal="center" wrapText="1"/>
    </xf>
    <xf numFmtId="0" fontId="4" fillId="0" borderId="0" xfId="0" applyFont="1"/>
    <xf numFmtId="0" fontId="4" fillId="0" borderId="48" xfId="0" applyFont="1" applyBorder="1"/>
    <xf numFmtId="49" fontId="4" fillId="0" borderId="0" xfId="0" applyNumberFormat="1" applyFont="1" applyAlignment="1">
      <alignment horizontal="left"/>
    </xf>
    <xf numFmtId="49" fontId="4" fillId="0" borderId="48" xfId="0" applyNumberFormat="1" applyFont="1" applyBorder="1" applyAlignment="1">
      <alignment horizontal="left"/>
    </xf>
    <xf numFmtId="0" fontId="4" fillId="0" borderId="10" xfId="0" applyFont="1" applyBorder="1"/>
    <xf numFmtId="0" fontId="4" fillId="0" borderId="52" xfId="0" applyFont="1" applyBorder="1"/>
    <xf numFmtId="0" fontId="6" fillId="12" borderId="57" xfId="0" applyFont="1" applyFill="1" applyBorder="1" applyAlignment="1">
      <alignment horizontal="right"/>
    </xf>
    <xf numFmtId="0" fontId="6" fillId="12" borderId="24" xfId="0" applyFont="1" applyFill="1" applyBorder="1" applyAlignment="1">
      <alignment horizontal="right"/>
    </xf>
    <xf numFmtId="0" fontId="6" fillId="12" borderId="22" xfId="0" applyFont="1" applyFill="1" applyBorder="1" applyAlignment="1">
      <alignment horizontal="right"/>
    </xf>
    <xf numFmtId="0" fontId="6" fillId="6" borderId="42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35" xfId="0" applyFont="1" applyFill="1" applyBorder="1"/>
    <xf numFmtId="0" fontId="6" fillId="7" borderId="0" xfId="0" applyFont="1" applyFill="1"/>
    <xf numFmtId="0" fontId="6" fillId="7" borderId="49" xfId="0" applyFont="1" applyFill="1" applyBorder="1" applyAlignment="1">
      <alignment horizontal="right"/>
    </xf>
    <xf numFmtId="0" fontId="6" fillId="7" borderId="50" xfId="0" applyFont="1" applyFill="1" applyBorder="1" applyAlignment="1">
      <alignment horizontal="right"/>
    </xf>
    <xf numFmtId="0" fontId="4" fillId="0" borderId="41" xfId="0" applyFont="1" applyBorder="1"/>
    <xf numFmtId="0" fontId="4" fillId="0" borderId="56" xfId="0" applyFont="1" applyBorder="1"/>
    <xf numFmtId="0" fontId="6" fillId="12" borderId="53" xfId="0" applyFont="1" applyFill="1" applyBorder="1" applyAlignment="1">
      <alignment horizontal="right"/>
    </xf>
    <xf numFmtId="0" fontId="6" fillId="12" borderId="54" xfId="0" applyFont="1" applyFill="1" applyBorder="1" applyAlignment="1">
      <alignment horizontal="right"/>
    </xf>
    <xf numFmtId="0" fontId="6" fillId="12" borderId="55" xfId="0" applyFont="1" applyFill="1" applyBorder="1" applyAlignment="1">
      <alignment horizontal="right"/>
    </xf>
    <xf numFmtId="0" fontId="6" fillId="6" borderId="43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/>
    </xf>
    <xf numFmtId="0" fontId="6" fillId="6" borderId="47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13" fillId="11" borderId="40" xfId="0" applyFont="1" applyFill="1" applyBorder="1" applyAlignment="1">
      <alignment horizontal="center"/>
    </xf>
    <xf numFmtId="0" fontId="13" fillId="11" borderId="41" xfId="0" applyFont="1" applyFill="1" applyBorder="1" applyAlignment="1">
      <alignment horizontal="center"/>
    </xf>
    <xf numFmtId="0" fontId="13" fillId="11" borderId="13" xfId="0" applyFont="1" applyFill="1" applyBorder="1" applyAlignment="1">
      <alignment horizontal="center"/>
    </xf>
    <xf numFmtId="0" fontId="14" fillId="6" borderId="0" xfId="0" applyFont="1" applyFill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/>
    <xf numFmtId="0" fontId="0" fillId="0" borderId="67" xfId="0" applyBorder="1"/>
  </cellXfs>
  <cellStyles count="5">
    <cellStyle name="Normal 2" xfId="1" xr:uid="{00000000-0005-0000-0000-000000000000}"/>
    <cellStyle name="Normala" xfId="0" builtinId="0"/>
    <cellStyle name="Normala 2" xfId="2" xr:uid="{00000000-0005-0000-0000-000002000000}"/>
    <cellStyle name="Normala 3" xfId="3" xr:uid="{C4531148-AF28-4F54-BF82-8E0ED3851AB4}"/>
    <cellStyle name="Normala 4" xfId="4" xr:uid="{4290611D-8064-44BC-A646-06D06D6E7919}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Contabilidad/Contabilidad/BERANKORTASUNA/2022/OARSOALDEA/2go%20HIRUHILEKOA/BERANKORTASUNA%203go%20HIRUHILEKOA%20OAR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OSTENA"/>
      <sheetName val="xehet1"/>
      <sheetName val="xehet2"/>
      <sheetName val="xehet32"/>
    </sheetNames>
    <sheetDataSet>
      <sheetData sheetId="0" refreshError="1"/>
      <sheetData sheetId="1" refreshError="1"/>
      <sheetData sheetId="2" refreshError="1">
        <row r="8">
          <cell r="D8" t="str">
            <v>Zenbatekoa</v>
          </cell>
          <cell r="T8" t="str">
            <v>ponderazioa 1</v>
          </cell>
          <cell r="V8" t="str">
            <v>Epean</v>
          </cell>
        </row>
        <row r="9">
          <cell r="D9">
            <v>18150</v>
          </cell>
          <cell r="T9">
            <v>0</v>
          </cell>
          <cell r="V9">
            <v>129</v>
          </cell>
        </row>
        <row r="10">
          <cell r="D10">
            <v>677.6</v>
          </cell>
          <cell r="T10">
            <v>0</v>
          </cell>
          <cell r="V10">
            <v>121</v>
          </cell>
        </row>
        <row r="11">
          <cell r="D11">
            <v>5</v>
          </cell>
          <cell r="T11">
            <v>0</v>
          </cell>
          <cell r="V11">
            <v>121</v>
          </cell>
        </row>
        <row r="12">
          <cell r="D12">
            <v>214.9</v>
          </cell>
          <cell r="T12">
            <v>0</v>
          </cell>
          <cell r="V12">
            <v>121</v>
          </cell>
        </row>
        <row r="13">
          <cell r="D13">
            <v>290.39999999999998</v>
          </cell>
          <cell r="T13">
            <v>0</v>
          </cell>
          <cell r="V13">
            <v>121</v>
          </cell>
        </row>
        <row r="14">
          <cell r="D14">
            <v>507.23</v>
          </cell>
          <cell r="T14">
            <v>0</v>
          </cell>
          <cell r="V14">
            <v>129</v>
          </cell>
        </row>
        <row r="15">
          <cell r="D15">
            <v>98.02</v>
          </cell>
          <cell r="T15">
            <v>0</v>
          </cell>
          <cell r="V15">
            <v>121</v>
          </cell>
        </row>
        <row r="16">
          <cell r="D16">
            <v>6</v>
          </cell>
          <cell r="T16">
            <v>0</v>
          </cell>
          <cell r="V16">
            <v>121</v>
          </cell>
        </row>
        <row r="17">
          <cell r="D17">
            <v>18.07</v>
          </cell>
          <cell r="T17">
            <v>0</v>
          </cell>
          <cell r="V17">
            <v>129</v>
          </cell>
        </row>
        <row r="18">
          <cell r="D18">
            <v>337.03</v>
          </cell>
          <cell r="T18">
            <v>0</v>
          </cell>
          <cell r="V18">
            <v>129</v>
          </cell>
        </row>
        <row r="19">
          <cell r="D19">
            <v>316.45999999999998</v>
          </cell>
          <cell r="T19">
            <v>0</v>
          </cell>
          <cell r="V19">
            <v>129</v>
          </cell>
        </row>
        <row r="20">
          <cell r="D20">
            <v>490.85</v>
          </cell>
          <cell r="T20">
            <v>0</v>
          </cell>
          <cell r="V20">
            <v>129</v>
          </cell>
        </row>
        <row r="21">
          <cell r="D21">
            <v>25.81</v>
          </cell>
          <cell r="T21">
            <v>0</v>
          </cell>
          <cell r="V21">
            <v>129</v>
          </cell>
        </row>
        <row r="22">
          <cell r="D22">
            <v>32.56</v>
          </cell>
          <cell r="T22">
            <v>0</v>
          </cell>
          <cell r="V22">
            <v>129</v>
          </cell>
        </row>
        <row r="23">
          <cell r="D23">
            <v>709.04</v>
          </cell>
          <cell r="T23">
            <v>0</v>
          </cell>
          <cell r="V23">
            <v>129</v>
          </cell>
        </row>
        <row r="24">
          <cell r="D24">
            <v>17.93</v>
          </cell>
          <cell r="T24">
            <v>0</v>
          </cell>
          <cell r="V24">
            <v>129</v>
          </cell>
        </row>
        <row r="25">
          <cell r="D25">
            <v>16.2</v>
          </cell>
          <cell r="T25">
            <v>0</v>
          </cell>
          <cell r="V25">
            <v>129</v>
          </cell>
        </row>
        <row r="26">
          <cell r="D26">
            <v>18.13</v>
          </cell>
          <cell r="T26">
            <v>0</v>
          </cell>
          <cell r="V26">
            <v>129</v>
          </cell>
        </row>
        <row r="27">
          <cell r="D27">
            <v>32.799999999999997</v>
          </cell>
          <cell r="T27">
            <v>0</v>
          </cell>
          <cell r="V27">
            <v>129</v>
          </cell>
        </row>
        <row r="28">
          <cell r="D28">
            <v>234.86</v>
          </cell>
          <cell r="T28">
            <v>0</v>
          </cell>
          <cell r="V28">
            <v>129</v>
          </cell>
        </row>
        <row r="29">
          <cell r="D29">
            <v>10.8</v>
          </cell>
          <cell r="T29">
            <v>0</v>
          </cell>
          <cell r="V29">
            <v>129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rria1"/>
  <dimension ref="A1:I93"/>
  <sheetViews>
    <sheetView tabSelected="1" topLeftCell="A67" zoomScaleNormal="100" workbookViewId="0">
      <selection activeCell="F79" sqref="F79"/>
    </sheetView>
  </sheetViews>
  <sheetFormatPr defaultRowHeight="12.75" customHeight="1" x14ac:dyDescent="0.2"/>
  <cols>
    <col min="1" max="1" width="3.140625" style="2" customWidth="1"/>
    <col min="2" max="2" width="4.42578125" style="2" bestFit="1" customWidth="1"/>
    <col min="3" max="3" width="34" style="2" bestFit="1" customWidth="1"/>
    <col min="4" max="9" width="13.7109375" style="2" customWidth="1"/>
    <col min="10" max="16384" width="9.140625" style="2"/>
  </cols>
  <sheetData>
    <row r="1" spans="1:9" ht="12.75" customHeight="1" x14ac:dyDescent="0.2">
      <c r="A1" s="179" t="e">
        <f>SUMSQ(D27:I27,D39:F40,D59:I59,D72:F72,D82:F83,E91:H91)</f>
        <v>#REF!</v>
      </c>
      <c r="B1" s="179"/>
    </row>
    <row r="2" spans="1:9" s="39" customFormat="1" ht="15.75" customHeight="1" x14ac:dyDescent="0.25">
      <c r="A2" s="180" t="s">
        <v>11</v>
      </c>
      <c r="B2" s="181"/>
      <c r="C2" s="181"/>
      <c r="D2" s="181"/>
      <c r="E2" s="181"/>
      <c r="F2" s="181"/>
      <c r="G2" s="181"/>
      <c r="H2" s="181"/>
      <c r="I2" s="182"/>
    </row>
    <row r="3" spans="1:9" s="39" customFormat="1" ht="15.75" customHeight="1" x14ac:dyDescent="0.25">
      <c r="A3" s="40"/>
      <c r="B3" s="41"/>
      <c r="C3" s="42" t="s">
        <v>12</v>
      </c>
      <c r="D3" s="183" t="s">
        <v>91</v>
      </c>
      <c r="E3" s="183"/>
      <c r="F3" s="183"/>
      <c r="G3" s="183"/>
      <c r="H3" s="41"/>
      <c r="I3" s="43"/>
    </row>
    <row r="4" spans="1:9" s="39" customFormat="1" ht="15.75" customHeight="1" x14ac:dyDescent="0.25">
      <c r="A4" s="40"/>
      <c r="B4" s="41"/>
      <c r="C4" s="44" t="s">
        <v>13</v>
      </c>
      <c r="D4" s="45">
        <v>2023</v>
      </c>
      <c r="E4" s="46"/>
      <c r="F4" s="41"/>
      <c r="G4" s="41"/>
      <c r="H4" s="41"/>
      <c r="I4" s="43"/>
    </row>
    <row r="5" spans="1:9" s="39" customFormat="1" ht="15.75" customHeight="1" x14ac:dyDescent="0.25">
      <c r="A5" s="47"/>
      <c r="B5" s="48"/>
      <c r="C5" s="49" t="s">
        <v>14</v>
      </c>
      <c r="D5" s="50">
        <v>1</v>
      </c>
      <c r="E5" s="51"/>
      <c r="F5" s="48"/>
      <c r="G5" s="48"/>
      <c r="H5" s="48"/>
      <c r="I5" s="52"/>
    </row>
    <row r="6" spans="1:9" ht="12.75" customHeight="1" x14ac:dyDescent="0.2">
      <c r="C6" s="20"/>
      <c r="D6" s="21"/>
      <c r="E6" s="21"/>
    </row>
    <row r="7" spans="1:9" ht="12.75" customHeight="1" x14ac:dyDescent="0.2">
      <c r="C7" s="20"/>
      <c r="D7" s="21"/>
      <c r="E7" s="21"/>
    </row>
    <row r="9" spans="1:9" s="39" customFormat="1" ht="15.75" x14ac:dyDescent="0.25">
      <c r="A9" s="38" t="s">
        <v>67</v>
      </c>
    </row>
    <row r="10" spans="1:9" ht="12.75" customHeight="1" x14ac:dyDescent="0.2">
      <c r="A10" s="4"/>
    </row>
    <row r="11" spans="1:9" ht="12.75" customHeight="1" x14ac:dyDescent="0.2">
      <c r="A11" s="4"/>
    </row>
    <row r="12" spans="1:9" s="19" customFormat="1" ht="13.5" thickBot="1" x14ac:dyDescent="0.25">
      <c r="A12" s="1" t="s">
        <v>15</v>
      </c>
    </row>
    <row r="13" spans="1:9" ht="12.75" customHeight="1" x14ac:dyDescent="0.2">
      <c r="A13" s="152" t="s">
        <v>17</v>
      </c>
      <c r="B13" s="153"/>
      <c r="C13" s="167"/>
      <c r="D13" s="169" t="s">
        <v>18</v>
      </c>
      <c r="E13" s="170"/>
      <c r="F13" s="171" t="s">
        <v>23</v>
      </c>
      <c r="G13" s="172"/>
      <c r="H13" s="172"/>
      <c r="I13" s="173"/>
    </row>
    <row r="14" spans="1:9" ht="12.75" customHeight="1" x14ac:dyDescent="0.2">
      <c r="A14" s="155"/>
      <c r="B14" s="156"/>
      <c r="C14" s="168"/>
      <c r="D14" s="174" t="s">
        <v>19</v>
      </c>
      <c r="E14" s="175"/>
      <c r="F14" s="176" t="s">
        <v>21</v>
      </c>
      <c r="G14" s="177"/>
      <c r="H14" s="177" t="s">
        <v>22</v>
      </c>
      <c r="I14" s="178"/>
    </row>
    <row r="15" spans="1:9" ht="22.5" x14ac:dyDescent="0.2">
      <c r="A15" s="155"/>
      <c r="B15" s="156"/>
      <c r="C15" s="168"/>
      <c r="D15" s="57" t="s">
        <v>20</v>
      </c>
      <c r="E15" s="23" t="s">
        <v>60</v>
      </c>
      <c r="F15" s="54" t="s">
        <v>24</v>
      </c>
      <c r="G15" s="22" t="s">
        <v>25</v>
      </c>
      <c r="H15" s="22" t="s">
        <v>24</v>
      </c>
      <c r="I15" s="67" t="s">
        <v>25</v>
      </c>
    </row>
    <row r="16" spans="1:9" ht="12.75" customHeight="1" x14ac:dyDescent="0.2">
      <c r="A16" s="158" t="s">
        <v>35</v>
      </c>
      <c r="B16" s="159"/>
      <c r="C16" s="159"/>
      <c r="D16" s="58" t="e">
        <f>IF(G16+I16=0,0,(D17*(#REF!+I17)+D18*(#REF!+I18)+D19*(#REF!+I19)+D20*(#REF!+I20)+D21*(#REF!+I21))/(G16+I16))</f>
        <v>#REF!</v>
      </c>
      <c r="E16" s="59">
        <f>IF(I16=0,0,(E17*I17+E18*I18+E19*I19+E20*I20+E21*I21)/I16)</f>
        <v>0</v>
      </c>
      <c r="F16" s="55">
        <v>199</v>
      </c>
      <c r="G16" s="24">
        <v>157794.12999999998</v>
      </c>
      <c r="H16" s="25">
        <f>SUM(H17:H21)</f>
        <v>0</v>
      </c>
      <c r="I16" s="90">
        <f>SUM(I17:I21)</f>
        <v>0</v>
      </c>
    </row>
    <row r="17" spans="1:9" ht="12.75" customHeight="1" x14ac:dyDescent="0.2">
      <c r="A17" s="91"/>
      <c r="B17" s="92" t="s">
        <v>0</v>
      </c>
      <c r="C17" s="2" t="s">
        <v>26</v>
      </c>
      <c r="D17" s="60"/>
      <c r="E17" s="35">
        <f>IF(H17=0,0,SUMIF(detalle1!V:V,220,detalle1!T:T)/SUMIF(detalle1!V:V,220,detalle1!D:D))</f>
        <v>0</v>
      </c>
      <c r="F17" s="36">
        <v>16</v>
      </c>
      <c r="G17" s="120">
        <v>8556.3799999999992</v>
      </c>
      <c r="H17" s="27">
        <f>COUNTIF(detalle1!V:V,220)</f>
        <v>0</v>
      </c>
      <c r="I17" s="80">
        <f>SUMIF(detalle1!V:V,220,detalle1!D:D)</f>
        <v>0</v>
      </c>
    </row>
    <row r="18" spans="1:9" ht="12.75" customHeight="1" x14ac:dyDescent="0.2">
      <c r="A18" s="91"/>
      <c r="B18" s="92" t="s">
        <v>1</v>
      </c>
      <c r="C18" s="2" t="s">
        <v>27</v>
      </c>
      <c r="D18" s="60"/>
      <c r="E18" s="35">
        <f>IF(H18=0,0,SUMIF(detalle1!V:V,221,detalle1!T:T)/SUMIF(detalle1!V:V,221,detalle1!D:D))</f>
        <v>0</v>
      </c>
      <c r="F18" s="36">
        <v>26</v>
      </c>
      <c r="G18" s="121">
        <v>8783.59</v>
      </c>
      <c r="H18" s="27">
        <f>COUNTIF(detalle1!V:V,221)</f>
        <v>0</v>
      </c>
      <c r="I18" s="80">
        <f>SUMIF(detalle1!V:V,221,detalle1!D:D)</f>
        <v>0</v>
      </c>
    </row>
    <row r="19" spans="1:9" ht="12.75" customHeight="1" x14ac:dyDescent="0.2">
      <c r="A19" s="91"/>
      <c r="B19" s="92" t="s">
        <v>2</v>
      </c>
      <c r="C19" s="2" t="s">
        <v>28</v>
      </c>
      <c r="D19" s="60"/>
      <c r="E19" s="35">
        <f>IF(H19=0,0,SUMIF(detalle1!V:V,222,detalle1!T:T)/SUMIF(detalle1!V:V,222,detalle1!D:D))</f>
        <v>0</v>
      </c>
      <c r="F19" s="36">
        <v>27</v>
      </c>
      <c r="G19" s="26">
        <v>9493.7099999999991</v>
      </c>
      <c r="H19" s="27">
        <f>COUNTIF(detalle1!V:V,222)</f>
        <v>0</v>
      </c>
      <c r="I19" s="80">
        <f>SUMIF(detalle1!V:V,222,detalle1!D:D)</f>
        <v>0</v>
      </c>
    </row>
    <row r="20" spans="1:9" ht="12.75" customHeight="1" x14ac:dyDescent="0.2">
      <c r="A20" s="91"/>
      <c r="B20" s="92" t="s">
        <v>3</v>
      </c>
      <c r="C20" s="2" t="s">
        <v>29</v>
      </c>
      <c r="D20" s="60"/>
      <c r="E20" s="35">
        <f>IF(H20=0,0,SUMIF(detalle1!V:V,223,detalle1!T:T)/SUMIF(detalle1!V:V,223,detalle1!D:D))</f>
        <v>0</v>
      </c>
      <c r="F20" s="36"/>
      <c r="G20" s="26"/>
      <c r="H20" s="27">
        <f>COUNTIF(detalle1!V:V,223)</f>
        <v>0</v>
      </c>
      <c r="I20" s="80">
        <f>SUMIF(detalle1!V:V,223,detalle1!D:D)</f>
        <v>0</v>
      </c>
    </row>
    <row r="21" spans="1:9" ht="12.75" customHeight="1" x14ac:dyDescent="0.2">
      <c r="A21" s="91"/>
      <c r="B21" s="92" t="s">
        <v>4</v>
      </c>
      <c r="C21" s="2" t="s">
        <v>30</v>
      </c>
      <c r="D21" s="60"/>
      <c r="E21" s="35">
        <f>IF(H21=0,0,SUMIF(detalle1!V:V,229,detalle1!T:T)/SUMIF(detalle1!V:V,229,detalle1!D:D))</f>
        <v>0</v>
      </c>
      <c r="F21" s="36">
        <v>130</v>
      </c>
      <c r="G21" s="26">
        <v>130960.44999999998</v>
      </c>
      <c r="H21" s="27">
        <f>COUNTIF(detalle1!V:V,229)</f>
        <v>0</v>
      </c>
      <c r="I21" s="80">
        <f>SUMIF(detalle1!V:V,229,detalle1!D:D)</f>
        <v>0</v>
      </c>
    </row>
    <row r="22" spans="1:9" ht="12.75" customHeight="1" x14ac:dyDescent="0.2">
      <c r="A22" s="158" t="s">
        <v>31</v>
      </c>
      <c r="B22" s="159"/>
      <c r="C22" s="159"/>
      <c r="D22" s="58">
        <f t="shared" ref="D22:I22" si="0">D23</f>
        <v>0</v>
      </c>
      <c r="E22" s="59">
        <f t="shared" si="0"/>
        <v>0</v>
      </c>
      <c r="F22" s="56">
        <v>19</v>
      </c>
      <c r="G22" s="29">
        <v>80067.850000000006</v>
      </c>
      <c r="H22" s="28">
        <f t="shared" si="0"/>
        <v>0</v>
      </c>
      <c r="I22" s="90">
        <f t="shared" si="0"/>
        <v>0</v>
      </c>
    </row>
    <row r="23" spans="1:9" ht="12.75" customHeight="1" x14ac:dyDescent="0.2">
      <c r="A23" s="91"/>
      <c r="B23" s="93" t="s">
        <v>5</v>
      </c>
      <c r="C23" s="2" t="s">
        <v>31</v>
      </c>
      <c r="D23" s="60"/>
      <c r="E23" s="35">
        <f>IF(H23=0,0,SUMIF(detalle1!V:V,269,detalle1!T:T)/SUMIF(detalle1!V:V,269,detalle1!D:D))</f>
        <v>0</v>
      </c>
      <c r="F23" s="36">
        <v>19</v>
      </c>
      <c r="G23" s="26">
        <v>80067.850000000006</v>
      </c>
      <c r="H23" s="27">
        <f>COUNTIF(detalle1!V:V,269)</f>
        <v>0</v>
      </c>
      <c r="I23" s="80">
        <f>SUMIF(detalle1!V:V,269,detalle1!D:D)</f>
        <v>0</v>
      </c>
    </row>
    <row r="24" spans="1:9" ht="12.75" customHeight="1" x14ac:dyDescent="0.2">
      <c r="A24" s="158" t="s">
        <v>34</v>
      </c>
      <c r="B24" s="159"/>
      <c r="C24" s="159"/>
      <c r="D24" s="58">
        <f t="shared" ref="D24:I24" si="1">D25</f>
        <v>0</v>
      </c>
      <c r="E24" s="59">
        <f t="shared" si="1"/>
        <v>0</v>
      </c>
      <c r="F24" s="56">
        <v>0</v>
      </c>
      <c r="G24" s="29">
        <v>0</v>
      </c>
      <c r="H24" s="28">
        <f t="shared" si="1"/>
        <v>0</v>
      </c>
      <c r="I24" s="90">
        <f t="shared" si="1"/>
        <v>0</v>
      </c>
    </row>
    <row r="25" spans="1:9" ht="12.75" customHeight="1" x14ac:dyDescent="0.2">
      <c r="A25" s="91"/>
      <c r="B25" s="147" t="s">
        <v>32</v>
      </c>
      <c r="C25" s="147"/>
      <c r="D25" s="94"/>
      <c r="E25" s="95"/>
      <c r="F25" s="96"/>
      <c r="G25" s="97"/>
      <c r="H25" s="98"/>
      <c r="I25" s="99"/>
    </row>
    <row r="26" spans="1:9" ht="12.75" customHeight="1" thickBot="1" x14ac:dyDescent="0.25">
      <c r="A26" s="160" t="s">
        <v>20</v>
      </c>
      <c r="B26" s="161"/>
      <c r="C26" s="161"/>
      <c r="D26" s="69" t="e">
        <f>IF(G26+I26=0,0,(D16*(G16+I16)+D22*(G22+I22)+D24*(G24+I24))/(G26+I26))</f>
        <v>#REF!</v>
      </c>
      <c r="E26" s="70">
        <f>IF(I26=0,0,(E16*I16+E22*I22+E24*I24)/I26)</f>
        <v>0</v>
      </c>
      <c r="F26" s="71">
        <v>218</v>
      </c>
      <c r="G26" s="72">
        <v>237861.97999999998</v>
      </c>
      <c r="H26" s="73">
        <f>H16+H22+H24</f>
        <v>0</v>
      </c>
      <c r="I26" s="77">
        <f>I16+I22+I24</f>
        <v>0</v>
      </c>
    </row>
    <row r="27" spans="1:9" ht="12.75" customHeight="1" x14ac:dyDescent="0.2">
      <c r="A27" s="2" t="s">
        <v>33</v>
      </c>
      <c r="D27" s="31" t="e">
        <f>IF(SUM(detalle1!D:D)=0,0,SUM(detalle1!T:T)/SUM(detalle1!D:D))-IF(G16+I16+G22+I22=0,0,(D16*(G16+I16)+D22*(G22+I22))/(G16+I16+G22+I22))</f>
        <v>#REF!</v>
      </c>
      <c r="E27" s="31">
        <f>IF(SUMIF(detalle1!V:V,"&gt;199",detalle1!D:D)=0,0,SUMIF(detalle1!V:V,"&gt;199",detalle1!T:T)/SUMIF(detalle1!V:V,"&gt;199",detalle1!D:D))-IF(I16+I22=0,0,(E16*I16+E22*I22)/(I16+I22))</f>
        <v>0</v>
      </c>
      <c r="F27" s="31"/>
      <c r="G27" s="31"/>
      <c r="H27" s="31">
        <f>COUNTIF(detalle1!P:P,"&gt;30")-H26+H25</f>
        <v>0</v>
      </c>
      <c r="I27" s="31">
        <f>SUMIF(detalle1!P:P,"&gt;30",detalle1!D:D)-I26+I25</f>
        <v>0</v>
      </c>
    </row>
    <row r="30" spans="1:9" ht="13.5" thickBot="1" x14ac:dyDescent="0.25">
      <c r="A30" s="1" t="s">
        <v>16</v>
      </c>
    </row>
    <row r="31" spans="1:9" ht="12.75" customHeight="1" x14ac:dyDescent="0.2">
      <c r="A31" s="152" t="s">
        <v>36</v>
      </c>
      <c r="B31" s="153"/>
      <c r="C31" s="154"/>
      <c r="D31" s="122" t="s">
        <v>41</v>
      </c>
      <c r="E31" s="123"/>
      <c r="F31" s="123"/>
      <c r="G31" s="124"/>
    </row>
    <row r="32" spans="1:9" ht="21" customHeight="1" x14ac:dyDescent="0.2">
      <c r="A32" s="155"/>
      <c r="B32" s="156"/>
      <c r="C32" s="157"/>
      <c r="D32" s="54" t="s">
        <v>42</v>
      </c>
      <c r="E32" s="22" t="s">
        <v>6</v>
      </c>
      <c r="F32" s="22" t="s">
        <v>25</v>
      </c>
      <c r="G32" s="67" t="s">
        <v>6</v>
      </c>
    </row>
    <row r="33" spans="1:9" ht="12.75" customHeight="1" x14ac:dyDescent="0.2">
      <c r="A33" s="91"/>
      <c r="B33" s="143" t="s">
        <v>37</v>
      </c>
      <c r="C33" s="144"/>
      <c r="D33" s="64">
        <f>+F26</f>
        <v>218</v>
      </c>
      <c r="E33" s="32">
        <f>IF($D$38=0,0,D33*100/$D$38)</f>
        <v>100</v>
      </c>
      <c r="F33" s="32">
        <f>+G26</f>
        <v>237861.97999999998</v>
      </c>
      <c r="G33" s="74">
        <f>IF($F$38=0,0,F33*100/$F$38)</f>
        <v>100.00000000000001</v>
      </c>
    </row>
    <row r="34" spans="1:9" ht="12.75" customHeight="1" x14ac:dyDescent="0.2">
      <c r="A34" s="91"/>
      <c r="B34" s="145" t="s">
        <v>38</v>
      </c>
      <c r="C34" s="146"/>
      <c r="D34" s="65">
        <v>0</v>
      </c>
      <c r="E34" s="26">
        <f>IF($D$38=0,0,D34*100/$D$38)</f>
        <v>0</v>
      </c>
      <c r="F34" s="26">
        <v>0</v>
      </c>
      <c r="G34" s="68">
        <f>IF($F$38=0,0,F34*100/$F$38)</f>
        <v>0</v>
      </c>
    </row>
    <row r="35" spans="1:9" ht="12.75" customHeight="1" x14ac:dyDescent="0.2">
      <c r="A35" s="91"/>
      <c r="B35" s="145" t="s">
        <v>39</v>
      </c>
      <c r="C35" s="146"/>
      <c r="D35" s="65">
        <v>0</v>
      </c>
      <c r="E35" s="26">
        <f>IF($D$38=0,0,D35*100/$D$38)</f>
        <v>0</v>
      </c>
      <c r="F35" s="26">
        <v>0</v>
      </c>
      <c r="G35" s="68">
        <f>IF($F$38=0,0,F35*100/$F$38)</f>
        <v>0</v>
      </c>
    </row>
    <row r="36" spans="1:9" ht="12.75" customHeight="1" x14ac:dyDescent="0.2">
      <c r="A36" s="91"/>
      <c r="B36" s="145" t="s">
        <v>38</v>
      </c>
      <c r="C36" s="146"/>
      <c r="D36" s="65">
        <v>0</v>
      </c>
      <c r="E36" s="26">
        <f>IF($D$38=0,0,D36*100/$D$38)</f>
        <v>0</v>
      </c>
      <c r="F36" s="26">
        <v>0</v>
      </c>
      <c r="G36" s="68">
        <f>IF($F$38=0,0,F36*100/$F$38)</f>
        <v>0</v>
      </c>
    </row>
    <row r="37" spans="1:9" ht="12.75" customHeight="1" x14ac:dyDescent="0.2">
      <c r="A37" s="100"/>
      <c r="B37" s="147" t="s">
        <v>40</v>
      </c>
      <c r="C37" s="148"/>
      <c r="D37" s="89">
        <f>COUNTIF(detalle1!P:P,"&gt;60")+IF(E25&gt;60,H25)</f>
        <v>0</v>
      </c>
      <c r="E37" s="26">
        <f>IF($D$38=0,0,D37*100/$D$38)</f>
        <v>0</v>
      </c>
      <c r="F37" s="30">
        <f>SUMIF(detalle1!P:P,"&gt;60",detalle1!D:D)+IF(E25&gt;60,I25)</f>
        <v>0</v>
      </c>
      <c r="G37" s="68">
        <f>IF($F$38=0,0,F37*100/$F$38)</f>
        <v>0</v>
      </c>
    </row>
    <row r="38" spans="1:9" ht="12.75" customHeight="1" thickBot="1" x14ac:dyDescent="0.25">
      <c r="A38" s="164" t="s">
        <v>20</v>
      </c>
      <c r="B38" s="165"/>
      <c r="C38" s="166"/>
      <c r="D38" s="75">
        <f>SUM(D33:D37)</f>
        <v>218</v>
      </c>
      <c r="E38" s="76">
        <f>SUM(E33:E37)</f>
        <v>100</v>
      </c>
      <c r="F38" s="76">
        <f>SUM(F33:F37)</f>
        <v>237861.97999999998</v>
      </c>
      <c r="G38" s="77">
        <f>SUM(G33:G37)</f>
        <v>100.00000000000001</v>
      </c>
    </row>
    <row r="39" spans="1:9" ht="12.75" customHeight="1" x14ac:dyDescent="0.2">
      <c r="A39" s="33"/>
      <c r="B39" s="33"/>
      <c r="C39" s="33"/>
      <c r="D39" s="31"/>
      <c r="E39" s="31"/>
      <c r="F39" s="31"/>
    </row>
    <row r="40" spans="1:9" ht="12.75" customHeight="1" x14ac:dyDescent="0.2">
      <c r="A40" s="33"/>
      <c r="B40" s="33"/>
      <c r="C40" s="33"/>
      <c r="D40" s="31"/>
      <c r="E40" s="31"/>
      <c r="F40" s="31"/>
    </row>
    <row r="41" spans="1:9" ht="12.75" customHeight="1" x14ac:dyDescent="0.2">
      <c r="A41" s="33"/>
      <c r="B41" s="33"/>
      <c r="C41" s="33"/>
    </row>
    <row r="42" spans="1:9" s="39" customFormat="1" ht="15.75" x14ac:dyDescent="0.25">
      <c r="A42" s="38" t="s">
        <v>68</v>
      </c>
    </row>
    <row r="43" spans="1:9" ht="12.75" customHeight="1" x14ac:dyDescent="0.2">
      <c r="A43" s="4"/>
    </row>
    <row r="44" spans="1:9" ht="12.75" customHeight="1" thickBot="1" x14ac:dyDescent="0.25">
      <c r="A44" s="4"/>
    </row>
    <row r="45" spans="1:9" ht="12.75" customHeight="1" x14ac:dyDescent="0.2">
      <c r="A45" s="152" t="s">
        <v>61</v>
      </c>
      <c r="B45" s="153"/>
      <c r="C45" s="167"/>
      <c r="D45" s="169" t="s">
        <v>18</v>
      </c>
      <c r="E45" s="170"/>
      <c r="F45" s="171" t="s">
        <v>43</v>
      </c>
      <c r="G45" s="172"/>
      <c r="H45" s="172"/>
      <c r="I45" s="173"/>
    </row>
    <row r="46" spans="1:9" ht="12.75" customHeight="1" x14ac:dyDescent="0.2">
      <c r="A46" s="155"/>
      <c r="B46" s="156"/>
      <c r="C46" s="168"/>
      <c r="D46" s="174" t="s">
        <v>19</v>
      </c>
      <c r="E46" s="175"/>
      <c r="F46" s="176" t="s">
        <v>21</v>
      </c>
      <c r="G46" s="177"/>
      <c r="H46" s="177" t="s">
        <v>22</v>
      </c>
      <c r="I46" s="178"/>
    </row>
    <row r="47" spans="1:9" ht="22.5" x14ac:dyDescent="0.2">
      <c r="A47" s="155"/>
      <c r="B47" s="156"/>
      <c r="C47" s="168"/>
      <c r="D47" s="57" t="s">
        <v>20</v>
      </c>
      <c r="E47" s="23" t="s">
        <v>60</v>
      </c>
      <c r="F47" s="54" t="s">
        <v>44</v>
      </c>
      <c r="G47" s="22" t="s">
        <v>25</v>
      </c>
      <c r="H47" s="22" t="s">
        <v>44</v>
      </c>
      <c r="I47" s="67" t="s">
        <v>25</v>
      </c>
    </row>
    <row r="48" spans="1:9" ht="12.75" customHeight="1" x14ac:dyDescent="0.2">
      <c r="A48" s="158" t="s">
        <v>35</v>
      </c>
      <c r="B48" s="159"/>
      <c r="C48" s="159"/>
      <c r="D48" s="58">
        <f>SUM(D49:D53)</f>
        <v>0</v>
      </c>
      <c r="E48" s="59">
        <f>IF(I48=0,0,(E49*I49+E50*I50+E51*I51+E52*I52+E53*I53)/I48)</f>
        <v>0</v>
      </c>
      <c r="F48" s="55">
        <v>51</v>
      </c>
      <c r="G48" s="24">
        <v>34608.160000000003</v>
      </c>
      <c r="H48" s="25">
        <f>SUM(H49:H53)</f>
        <v>0</v>
      </c>
      <c r="I48" s="90">
        <f>SUM(I49:I53)</f>
        <v>0</v>
      </c>
    </row>
    <row r="49" spans="1:9" ht="12.75" customHeight="1" x14ac:dyDescent="0.2">
      <c r="A49" s="91"/>
      <c r="B49" s="92" t="s">
        <v>0</v>
      </c>
      <c r="C49" s="2" t="s">
        <v>26</v>
      </c>
      <c r="D49" s="60">
        <v>0</v>
      </c>
      <c r="E49" s="35">
        <f>IF(H49=0,0,SUMIF([1]xehet2!V$1:V$65536,220,[1]xehet2!T$1:T$65536)/SUMIF([1]xehet2!V$1:V$65536,220,[1]xehet2!D$1:D$65536))</f>
        <v>0</v>
      </c>
      <c r="F49" s="2">
        <v>0</v>
      </c>
      <c r="G49" s="2">
        <v>0</v>
      </c>
      <c r="H49" s="27"/>
      <c r="I49" s="80"/>
    </row>
    <row r="50" spans="1:9" ht="12.75" customHeight="1" x14ac:dyDescent="0.2">
      <c r="A50" s="91"/>
      <c r="B50" s="92" t="s">
        <v>1</v>
      </c>
      <c r="C50" s="2" t="s">
        <v>27</v>
      </c>
      <c r="D50" s="60">
        <v>0</v>
      </c>
      <c r="E50" s="35">
        <f>IF(H50=0,0,SUMIF([1]xehet2!V$1:V$65536,221,[1]xehet2!T$1:T$65536)/SUMIF([1]xehet2!V$1:V$65536,221,[1]xehet2!D$1:D$65536))</f>
        <v>0</v>
      </c>
      <c r="F50" s="2">
        <v>5</v>
      </c>
      <c r="G50" s="2">
        <v>1515.22</v>
      </c>
      <c r="H50" s="27"/>
      <c r="I50" s="80"/>
    </row>
    <row r="51" spans="1:9" ht="12.75" customHeight="1" x14ac:dyDescent="0.2">
      <c r="A51" s="91"/>
      <c r="B51" s="92" t="s">
        <v>2</v>
      </c>
      <c r="C51" s="2" t="s">
        <v>28</v>
      </c>
      <c r="D51" s="60">
        <v>0</v>
      </c>
      <c r="E51" s="35">
        <f>IF(H51=0,0,SUMIF([1]xehet2!V$1:V$65536,222,[1]xehet2!T$1:T$65536)/SUMIF([1]xehet2!V$1:V$65536,222,[1]xehet2!D$1:D$65536))</f>
        <v>0</v>
      </c>
      <c r="F51" s="2">
        <v>11</v>
      </c>
      <c r="G51" s="2">
        <v>3705.89</v>
      </c>
      <c r="H51" s="27"/>
      <c r="I51" s="80"/>
    </row>
    <row r="52" spans="1:9" ht="12.75" customHeight="1" x14ac:dyDescent="0.2">
      <c r="A52" s="91"/>
      <c r="B52" s="92" t="s">
        <v>3</v>
      </c>
      <c r="C52" s="2" t="s">
        <v>29</v>
      </c>
      <c r="D52" s="60">
        <v>0</v>
      </c>
      <c r="E52" s="35">
        <f>IF(H52=0,0,SUMIF([1]xehet2!V$1:V$65536,223,[1]xehet2!T$1:T$65536)/SUMIF([1]xehet2!V$1:V$65536,223,[1]xehet2!D$1:D$65536))</f>
        <v>0</v>
      </c>
      <c r="H52" s="27"/>
      <c r="I52" s="80"/>
    </row>
    <row r="53" spans="1:9" ht="12.75" customHeight="1" x14ac:dyDescent="0.2">
      <c r="A53" s="91"/>
      <c r="B53" s="92" t="s">
        <v>4</v>
      </c>
      <c r="C53" s="2" t="s">
        <v>30</v>
      </c>
      <c r="D53" s="60">
        <v>0</v>
      </c>
      <c r="E53" s="35">
        <f>IF(H53=0,0,SUMIF([1]xehet2!V$1:V$65536,229,[1]xehet2!T$1:T$65536)/SUMIF([1]xehet2!V$1:V$65536,229,[1]xehet2!D$1:D$65536))</f>
        <v>0</v>
      </c>
      <c r="F53" s="2">
        <v>35</v>
      </c>
      <c r="G53" s="2">
        <v>29387.050000000003</v>
      </c>
      <c r="H53" s="27"/>
      <c r="I53" s="80"/>
    </row>
    <row r="54" spans="1:9" ht="12.75" customHeight="1" x14ac:dyDescent="0.2">
      <c r="A54" s="158" t="s">
        <v>31</v>
      </c>
      <c r="B54" s="159"/>
      <c r="C54" s="159"/>
      <c r="D54" s="58">
        <f t="shared" ref="D54:I54" si="2">D55</f>
        <v>0</v>
      </c>
      <c r="E54" s="59">
        <f t="shared" si="2"/>
        <v>0</v>
      </c>
      <c r="F54" s="56">
        <v>11</v>
      </c>
      <c r="G54" s="29">
        <v>20438.369999999995</v>
      </c>
      <c r="H54" s="28">
        <f t="shared" si="2"/>
        <v>0</v>
      </c>
      <c r="I54" s="90">
        <f t="shared" si="2"/>
        <v>0</v>
      </c>
    </row>
    <row r="55" spans="1:9" ht="12.75" customHeight="1" x14ac:dyDescent="0.2">
      <c r="A55" s="91"/>
      <c r="B55" s="93" t="s">
        <v>5</v>
      </c>
      <c r="C55" s="2" t="s">
        <v>31</v>
      </c>
      <c r="D55" s="60">
        <v>0</v>
      </c>
      <c r="E55" s="35">
        <f>IF(H55=0,0,SUMIF([1]xehet2!V$1:V$65536,269,[1]xehet2!T$1:T$65536)/SUMIF([1]xehet2!V$1:V$65536,269,[1]xehet2!D$1:D$65536))</f>
        <v>0</v>
      </c>
      <c r="F55" s="36">
        <v>11</v>
      </c>
      <c r="G55" s="26">
        <v>20438.369999999995</v>
      </c>
      <c r="H55" s="27"/>
      <c r="I55" s="80"/>
    </row>
    <row r="56" spans="1:9" ht="12.75" customHeight="1" x14ac:dyDescent="0.2">
      <c r="A56" s="158" t="s">
        <v>34</v>
      </c>
      <c r="B56" s="159"/>
      <c r="C56" s="159"/>
      <c r="D56" s="58">
        <f t="shared" ref="D56:I56" si="3">D57</f>
        <v>0</v>
      </c>
      <c r="E56" s="59">
        <f t="shared" si="3"/>
        <v>0</v>
      </c>
      <c r="F56" s="56">
        <v>0</v>
      </c>
      <c r="G56" s="29">
        <v>0</v>
      </c>
      <c r="H56" s="28">
        <f t="shared" si="3"/>
        <v>0</v>
      </c>
      <c r="I56" s="90">
        <f t="shared" si="3"/>
        <v>0</v>
      </c>
    </row>
    <row r="57" spans="1:9" ht="12.75" customHeight="1" x14ac:dyDescent="0.2">
      <c r="A57" s="91"/>
      <c r="B57" s="147" t="s">
        <v>32</v>
      </c>
      <c r="C57" s="147"/>
      <c r="D57" s="94"/>
      <c r="E57" s="95"/>
      <c r="F57" s="96"/>
      <c r="G57" s="97"/>
      <c r="H57" s="98"/>
      <c r="I57" s="99"/>
    </row>
    <row r="58" spans="1:9" ht="12.75" customHeight="1" thickBot="1" x14ac:dyDescent="0.25">
      <c r="A58" s="160" t="s">
        <v>20</v>
      </c>
      <c r="B58" s="161"/>
      <c r="C58" s="161"/>
      <c r="D58" s="69">
        <f>+D56+D54+D48</f>
        <v>0</v>
      </c>
      <c r="E58" s="70">
        <f>IF(I58=0,0,(E48*I48+E54*I54+E56*I56)/I58)</f>
        <v>0</v>
      </c>
      <c r="F58" s="71">
        <v>62</v>
      </c>
      <c r="G58" s="72">
        <v>55046.53</v>
      </c>
      <c r="H58" s="73">
        <f>H48+H54+H56</f>
        <v>0</v>
      </c>
      <c r="I58" s="77">
        <f>I48+I54+I56</f>
        <v>0</v>
      </c>
    </row>
    <row r="59" spans="1:9" ht="12.75" customHeight="1" x14ac:dyDescent="0.2">
      <c r="A59" s="2" t="s">
        <v>33</v>
      </c>
      <c r="D59" s="111">
        <v>0</v>
      </c>
      <c r="E59" s="31"/>
      <c r="F59" s="31"/>
      <c r="G59" s="31"/>
      <c r="H59" s="31"/>
      <c r="I59" s="31"/>
    </row>
    <row r="60" spans="1:9" ht="12.75" customHeight="1" x14ac:dyDescent="0.2">
      <c r="E60" s="103">
        <f>SUMIF(detalle2!V:V,"&gt;199",detalle2!D:D)</f>
        <v>0</v>
      </c>
    </row>
    <row r="63" spans="1:9" s="39" customFormat="1" ht="15.75" x14ac:dyDescent="0.25">
      <c r="A63" s="38" t="s">
        <v>64</v>
      </c>
    </row>
    <row r="64" spans="1:9" ht="12.75" customHeight="1" x14ac:dyDescent="0.2">
      <c r="A64" s="4"/>
    </row>
    <row r="65" spans="1:7" ht="12.75" customHeight="1" x14ac:dyDescent="0.2">
      <c r="A65" s="4"/>
    </row>
    <row r="66" spans="1:7" s="19" customFormat="1" ht="13.5" thickBot="1" x14ac:dyDescent="0.25">
      <c r="A66" s="1" t="s">
        <v>63</v>
      </c>
    </row>
    <row r="67" spans="1:7" ht="33.75" x14ac:dyDescent="0.2">
      <c r="A67" s="152" t="s">
        <v>62</v>
      </c>
      <c r="B67" s="153"/>
      <c r="C67" s="154"/>
      <c r="D67" s="78" t="s">
        <v>46</v>
      </c>
      <c r="E67" s="66" t="s">
        <v>47</v>
      </c>
      <c r="F67" s="79" t="s">
        <v>25</v>
      </c>
      <c r="G67" s="34"/>
    </row>
    <row r="68" spans="1:7" ht="12.75" customHeight="1" x14ac:dyDescent="0.2">
      <c r="A68" s="101"/>
      <c r="B68" s="162" t="s">
        <v>35</v>
      </c>
      <c r="C68" s="163"/>
      <c r="D68" s="61">
        <f>IF(E68=0,0,SUMIF(detalle32!T:T,22,detalle32!R:R)/SUMIF(detalle32!T:T,22,detalle32!D:D))</f>
        <v>0</v>
      </c>
      <c r="E68" s="27">
        <f>COUNTIF(detalle32!T:T,22)</f>
        <v>0</v>
      </c>
      <c r="F68" s="80">
        <f>SUMIF(detalle32!T:T,22,detalle32!D:D)</f>
        <v>0</v>
      </c>
    </row>
    <row r="69" spans="1:7" ht="12.75" customHeight="1" x14ac:dyDescent="0.2">
      <c r="A69" s="91"/>
      <c r="B69" s="145" t="s">
        <v>31</v>
      </c>
      <c r="C69" s="146"/>
      <c r="D69" s="61">
        <f>IF(E69=0,0,SUMIF(detalle32!T:T,26,detalle32!R:R)/SUMIF(detalle32!T:T,26,detalle32!D:D))</f>
        <v>0</v>
      </c>
      <c r="E69" s="27">
        <f>COUNTIF(detalle32!T:T,26)</f>
        <v>0</v>
      </c>
      <c r="F69" s="80">
        <f>SUMIF(detalle32!T:T,26,detalle32!D:D)</f>
        <v>0</v>
      </c>
    </row>
    <row r="70" spans="1:7" ht="12.75" customHeight="1" x14ac:dyDescent="0.2">
      <c r="A70" s="100"/>
      <c r="B70" s="147" t="s">
        <v>45</v>
      </c>
      <c r="C70" s="148"/>
      <c r="D70" s="61">
        <f>IF(E70=0,0,SUMIF(detalle32!T:T,29,detalle32!R:R)/SUMIF(detalle32!T:T,29,detalle32!D:D))</f>
        <v>0</v>
      </c>
      <c r="E70" s="27">
        <f>COUNTIF(detalle32!T:T,29)</f>
        <v>0</v>
      </c>
      <c r="F70" s="80">
        <f>SUMIF(detalle32!T:T,29,detalle32!D:D)</f>
        <v>0</v>
      </c>
    </row>
    <row r="71" spans="1:7" ht="12.75" customHeight="1" thickBot="1" x14ac:dyDescent="0.25">
      <c r="A71" s="149" t="s">
        <v>20</v>
      </c>
      <c r="B71" s="150"/>
      <c r="C71" s="151"/>
      <c r="D71" s="81">
        <f>IF(F71=0,0,(D68*F68+D69*F69+D70*F70)/F71)</f>
        <v>0</v>
      </c>
      <c r="E71" s="73">
        <f>SUM(E68:E70)</f>
        <v>0</v>
      </c>
      <c r="F71" s="82">
        <f>SUM(F68:F70)</f>
        <v>0</v>
      </c>
    </row>
    <row r="72" spans="1:7" ht="12.75" customHeight="1" x14ac:dyDescent="0.2">
      <c r="D72" s="31">
        <f>IF(D73=0,0,SUMIF(detalle32!O:O,"&gt;90",detalle32!R:R)/SUMIF(detalle32!O:O,"&gt;90",detalle32!D:D))-IF(D71="",0,D71)</f>
        <v>0</v>
      </c>
      <c r="E72" s="31">
        <f>COUNTIF(detalle32!O:O,"&gt;90")-E71</f>
        <v>0</v>
      </c>
      <c r="F72" s="31">
        <f>SUMIF(detalle32!O:O,"&gt;90",detalle32!D:D)-F71</f>
        <v>0</v>
      </c>
    </row>
    <row r="73" spans="1:7" ht="12.75" customHeight="1" x14ac:dyDescent="0.2">
      <c r="D73" s="103">
        <f>SUMIF(detalle32!O:O,"&gt;90",detalle32!D:D)</f>
        <v>0</v>
      </c>
    </row>
    <row r="74" spans="1:7" s="19" customFormat="1" ht="13.5" thickBot="1" x14ac:dyDescent="0.25">
      <c r="A74" s="1" t="s">
        <v>65</v>
      </c>
    </row>
    <row r="75" spans="1:7" ht="12.75" customHeight="1" x14ac:dyDescent="0.2">
      <c r="A75" s="152" t="s">
        <v>66</v>
      </c>
      <c r="B75" s="153"/>
      <c r="C75" s="154"/>
      <c r="D75" s="122" t="s">
        <v>55</v>
      </c>
      <c r="E75" s="123"/>
      <c r="F75" s="123"/>
      <c r="G75" s="124"/>
    </row>
    <row r="76" spans="1:7" ht="22.5" x14ac:dyDescent="0.2">
      <c r="A76" s="155"/>
      <c r="B76" s="156"/>
      <c r="C76" s="157"/>
      <c r="D76" s="54" t="s">
        <v>42</v>
      </c>
      <c r="E76" s="22" t="s">
        <v>6</v>
      </c>
      <c r="F76" s="22" t="s">
        <v>25</v>
      </c>
      <c r="G76" s="67" t="s">
        <v>6</v>
      </c>
    </row>
    <row r="77" spans="1:7" ht="12.75" customHeight="1" x14ac:dyDescent="0.2">
      <c r="A77" s="101"/>
      <c r="B77" s="143" t="s">
        <v>37</v>
      </c>
      <c r="C77" s="144"/>
      <c r="D77" s="36">
        <f>COUNTIF(detalle32!O:O,"&lt;=30")</f>
        <v>0</v>
      </c>
      <c r="E77" s="37">
        <v>100</v>
      </c>
      <c r="F77" s="26"/>
      <c r="G77" s="83">
        <f>IF($F$81=0,0,F77*100/$F$81)</f>
        <v>0</v>
      </c>
    </row>
    <row r="78" spans="1:7" ht="12.75" customHeight="1" x14ac:dyDescent="0.2">
      <c r="A78" s="91"/>
      <c r="B78" s="145" t="s">
        <v>48</v>
      </c>
      <c r="C78" s="146"/>
      <c r="D78" s="36">
        <f>COUNTIF(detalle32!O:O,"&lt;=60")-D77</f>
        <v>0</v>
      </c>
      <c r="E78" s="37">
        <f>IF($D$81=0,0,D78*100/$D$81)</f>
        <v>0</v>
      </c>
      <c r="F78" s="26"/>
      <c r="G78" s="83">
        <f>IF($F$81=0,0,F78*100/$F$81)</f>
        <v>0</v>
      </c>
    </row>
    <row r="79" spans="1:7" ht="12.75" customHeight="1" x14ac:dyDescent="0.2">
      <c r="A79" s="91"/>
      <c r="B79" s="145" t="s">
        <v>49</v>
      </c>
      <c r="C79" s="146"/>
      <c r="D79" s="36">
        <f>COUNTIF(detalle32!O:O,"&lt;=90")-SUM(D77:D78)</f>
        <v>0</v>
      </c>
      <c r="E79" s="37">
        <f>IF($D$81=0,0,D79*100/$D$81)</f>
        <v>0</v>
      </c>
      <c r="F79" s="26"/>
      <c r="G79" s="83">
        <f>IF($F$81=0,0,F79*100/$F$81)</f>
        <v>0</v>
      </c>
    </row>
    <row r="80" spans="1:7" ht="12.75" customHeight="1" x14ac:dyDescent="0.2">
      <c r="A80" s="91"/>
      <c r="B80" s="147" t="s">
        <v>50</v>
      </c>
      <c r="C80" s="148"/>
      <c r="D80" s="36">
        <f>COUNTIF(detalle32!O:O,"&gt;90")</f>
        <v>0</v>
      </c>
      <c r="E80" s="37">
        <f>IF($D$81=0,0,D80*100/$D$81)</f>
        <v>0</v>
      </c>
      <c r="F80" s="26">
        <f>SUMIF(detalle32!O:O,"&gt;90",detalle32!D:D)</f>
        <v>0</v>
      </c>
      <c r="G80" s="83">
        <f>IF($F$81=0,0,F80*100/$F$81)</f>
        <v>0</v>
      </c>
    </row>
    <row r="81" spans="1:8" ht="12.75" customHeight="1" thickBot="1" x14ac:dyDescent="0.25">
      <c r="A81" s="127" t="s">
        <v>20</v>
      </c>
      <c r="B81" s="128"/>
      <c r="C81" s="129"/>
      <c r="D81" s="71">
        <f>SUM(D77:D80)</f>
        <v>0</v>
      </c>
      <c r="E81" s="84">
        <f>SUM(E77:E80)</f>
        <v>100</v>
      </c>
      <c r="F81" s="72">
        <f>SUM(F77:F80)</f>
        <v>0</v>
      </c>
      <c r="G81" s="85">
        <f>SUM(G77:G80)</f>
        <v>0</v>
      </c>
    </row>
    <row r="82" spans="1:8" ht="12.75" customHeight="1" x14ac:dyDescent="0.2">
      <c r="A82" s="33"/>
      <c r="B82" s="33"/>
      <c r="C82" s="33"/>
      <c r="D82" s="31">
        <f>COUNT(detalle32!D:D)-D81</f>
        <v>0</v>
      </c>
      <c r="E82" s="31"/>
      <c r="F82" s="31"/>
    </row>
    <row r="83" spans="1:8" ht="12.75" customHeight="1" x14ac:dyDescent="0.2">
      <c r="A83" s="33"/>
      <c r="B83" s="33"/>
      <c r="C83" s="33"/>
      <c r="D83" s="31">
        <f>E71-D80</f>
        <v>0</v>
      </c>
      <c r="E83" s="31"/>
      <c r="F83" s="31">
        <f>F71-F80</f>
        <v>0</v>
      </c>
    </row>
    <row r="84" spans="1:8" ht="12.75" customHeight="1" x14ac:dyDescent="0.2">
      <c r="A84" s="33"/>
      <c r="B84" s="33"/>
      <c r="C84" s="33"/>
    </row>
    <row r="85" spans="1:8" s="39" customFormat="1" ht="15.75" x14ac:dyDescent="0.25">
      <c r="A85" s="38" t="s">
        <v>51</v>
      </c>
      <c r="B85" s="53"/>
      <c r="C85" s="53"/>
    </row>
    <row r="86" spans="1:8" ht="12.75" customHeight="1" x14ac:dyDescent="0.2">
      <c r="A86" s="4"/>
      <c r="B86" s="33"/>
      <c r="C86" s="33"/>
    </row>
    <row r="87" spans="1:8" ht="12.75" customHeight="1" thickBot="1" x14ac:dyDescent="0.25"/>
    <row r="88" spans="1:8" ht="12.75" customHeight="1" x14ac:dyDescent="0.2">
      <c r="A88" s="130" t="s">
        <v>52</v>
      </c>
      <c r="B88" s="131"/>
      <c r="C88" s="132"/>
      <c r="D88" s="141" t="s">
        <v>58</v>
      </c>
      <c r="E88" s="142"/>
      <c r="F88" s="141" t="s">
        <v>59</v>
      </c>
      <c r="G88" s="142"/>
      <c r="H88" s="136" t="s">
        <v>56</v>
      </c>
    </row>
    <row r="89" spans="1:8" ht="12.75" customHeight="1" x14ac:dyDescent="0.2">
      <c r="A89" s="133"/>
      <c r="B89" s="134"/>
      <c r="C89" s="135"/>
      <c r="D89" s="62" t="s">
        <v>54</v>
      </c>
      <c r="E89" s="63" t="s">
        <v>57</v>
      </c>
      <c r="F89" s="62" t="s">
        <v>54</v>
      </c>
      <c r="G89" s="63" t="s">
        <v>57</v>
      </c>
      <c r="H89" s="137"/>
    </row>
    <row r="90" spans="1:8" ht="12.75" customHeight="1" thickBot="1" x14ac:dyDescent="0.25">
      <c r="A90" s="138" t="str">
        <f>D3</f>
        <v>OARSOALDEA</v>
      </c>
      <c r="B90" s="139"/>
      <c r="C90" s="140"/>
      <c r="D90" s="86">
        <f>IF((SUM(detalle1!D:D)+G24+I24)=0,0,(SUM(detalle1!T:T)+D24*(G24+I24))/(SUM(detalle1!D:D)+G24+I24))</f>
        <v>0</v>
      </c>
      <c r="E90" s="87">
        <f>+G26</f>
        <v>237861.97999999998</v>
      </c>
      <c r="F90" s="86"/>
      <c r="G90" s="87">
        <f>+G58</f>
        <v>55046.53</v>
      </c>
      <c r="H90" s="88">
        <f>IF(E90=0,F90,IF(G90=0,D90,(D90*E90+F90*G90)/(E90+G90)))</f>
        <v>0</v>
      </c>
    </row>
    <row r="91" spans="1:8" ht="12.75" customHeight="1" x14ac:dyDescent="0.2">
      <c r="D91" s="31"/>
      <c r="E91" s="104">
        <f>E90-F38</f>
        <v>0</v>
      </c>
      <c r="F91" s="104"/>
      <c r="G91" s="104">
        <f>G90-G58-I58-F81</f>
        <v>0</v>
      </c>
      <c r="H91" s="104">
        <f>IF(H92=0,0,(SUM(detalle1!U:U)+SUM(detalle2!U:U)+SUM(detalle32!S:S)+D24*(G24+I24)+D56*(G56+I56))/(SUM(detalle1!D:D)+SUM(detalle2!D:D)+SUM(detalle32!D:D)+G24+I24+G56+I56))-IF(H90="",0,H90)</f>
        <v>0</v>
      </c>
    </row>
    <row r="92" spans="1:8" ht="12.75" customHeight="1" thickBot="1" x14ac:dyDescent="0.25">
      <c r="A92" s="4" t="s">
        <v>53</v>
      </c>
      <c r="H92" s="102">
        <f>(SUM(detalle1!D:D)+SUM(detalle2!D:D)+SUM(detalle32!D:D)+G24+I24+G56+I56)</f>
        <v>1061540.98</v>
      </c>
    </row>
    <row r="93" spans="1:8" ht="43.5" customHeight="1" thickBot="1" x14ac:dyDescent="0.25">
      <c r="B93" s="125"/>
      <c r="C93" s="126"/>
    </row>
  </sheetData>
  <mergeCells count="51">
    <mergeCell ref="A1:B1"/>
    <mergeCell ref="A2:I2"/>
    <mergeCell ref="D3:G3"/>
    <mergeCell ref="A13:C15"/>
    <mergeCell ref="D13:E13"/>
    <mergeCell ref="F13:I13"/>
    <mergeCell ref="D14:E14"/>
    <mergeCell ref="F14:G14"/>
    <mergeCell ref="H14:I14"/>
    <mergeCell ref="B35:C35"/>
    <mergeCell ref="A16:C16"/>
    <mergeCell ref="A22:C22"/>
    <mergeCell ref="A24:C24"/>
    <mergeCell ref="B25:C25"/>
    <mergeCell ref="A26:C26"/>
    <mergeCell ref="A31:C32"/>
    <mergeCell ref="B33:C33"/>
    <mergeCell ref="B34:C34"/>
    <mergeCell ref="F45:I45"/>
    <mergeCell ref="D46:E46"/>
    <mergeCell ref="F46:G46"/>
    <mergeCell ref="H46:I46"/>
    <mergeCell ref="D31:G31"/>
    <mergeCell ref="B36:C36"/>
    <mergeCell ref="B37:C37"/>
    <mergeCell ref="A38:C38"/>
    <mergeCell ref="A45:C47"/>
    <mergeCell ref="D45:E45"/>
    <mergeCell ref="A71:C71"/>
    <mergeCell ref="A75:C76"/>
    <mergeCell ref="A48:C48"/>
    <mergeCell ref="A54:C54"/>
    <mergeCell ref="A56:C56"/>
    <mergeCell ref="B57:C57"/>
    <mergeCell ref="A58:C58"/>
    <mergeCell ref="A67:C67"/>
    <mergeCell ref="B68:C68"/>
    <mergeCell ref="B69:C69"/>
    <mergeCell ref="B70:C70"/>
    <mergeCell ref="D75:G75"/>
    <mergeCell ref="B93:C93"/>
    <mergeCell ref="A81:C81"/>
    <mergeCell ref="A88:C89"/>
    <mergeCell ref="H88:H89"/>
    <mergeCell ref="A90:C90"/>
    <mergeCell ref="D88:E88"/>
    <mergeCell ref="F88:G88"/>
    <mergeCell ref="B77:C77"/>
    <mergeCell ref="B78:C78"/>
    <mergeCell ref="B80:C80"/>
    <mergeCell ref="B79:C79"/>
  </mergeCells>
  <phoneticPr fontId="4" type="noConversion"/>
  <conditionalFormatting sqref="H90">
    <cfRule type="expression" dxfId="26" priority="13" stopIfTrue="1">
      <formula>$E$90+$G$90=0</formula>
    </cfRule>
  </conditionalFormatting>
  <conditionalFormatting sqref="G77:G80">
    <cfRule type="expression" dxfId="25" priority="14" stopIfTrue="1">
      <formula>F$81=0</formula>
    </cfRule>
  </conditionalFormatting>
  <conditionalFormatting sqref="D68:D70 D23 D55">
    <cfRule type="expression" dxfId="24" priority="15" stopIfTrue="1">
      <formula>F23+H23=0</formula>
    </cfRule>
  </conditionalFormatting>
  <conditionalFormatting sqref="E17:E21 E23 E49:E53 E55">
    <cfRule type="expression" dxfId="23" priority="16" stopIfTrue="1">
      <formula>H17=0</formula>
    </cfRule>
  </conditionalFormatting>
  <conditionalFormatting sqref="D16 D22 D24 D48 D56">
    <cfRule type="expression" dxfId="22" priority="17" stopIfTrue="1">
      <formula>F16+H16=0</formula>
    </cfRule>
  </conditionalFormatting>
  <conditionalFormatting sqref="E16 E22 E24 E48 E56">
    <cfRule type="expression" dxfId="21" priority="18" stopIfTrue="1">
      <formula>H16=0</formula>
    </cfRule>
  </conditionalFormatting>
  <conditionalFormatting sqref="E77:E80">
    <cfRule type="expression" dxfId="20" priority="19" stopIfTrue="1">
      <formula>$D$81=0</formula>
    </cfRule>
  </conditionalFormatting>
  <conditionalFormatting sqref="E38">
    <cfRule type="expression" dxfId="19" priority="20" stopIfTrue="1">
      <formula>$D$38=0</formula>
    </cfRule>
  </conditionalFormatting>
  <conditionalFormatting sqref="G38">
    <cfRule type="expression" dxfId="18" priority="21" stopIfTrue="1">
      <formula>$F$38=0</formula>
    </cfRule>
  </conditionalFormatting>
  <conditionalFormatting sqref="A1:B1 F59:I59 D39:F40 E91:H91 D72:F72 D82:F83 D27:F27 H27:I27 D90 F90">
    <cfRule type="cellIs" dxfId="17" priority="22" stopIfTrue="1" operator="equal">
      <formula>0</formula>
    </cfRule>
  </conditionalFormatting>
  <conditionalFormatting sqref="D58:E58 D71 D26:E26 D54:E54">
    <cfRule type="cellIs" dxfId="16" priority="23" stopIfTrue="1" operator="equal">
      <formula>0</formula>
    </cfRule>
  </conditionalFormatting>
  <conditionalFormatting sqref="D59:E59">
    <cfRule type="cellIs" dxfId="15" priority="24" stopIfTrue="1" operator="between">
      <formula>-0.001</formula>
      <formula>0.001</formula>
    </cfRule>
  </conditionalFormatting>
  <conditionalFormatting sqref="G27">
    <cfRule type="cellIs" dxfId="14" priority="25" stopIfTrue="1" operator="between">
      <formula>-0.00001</formula>
      <formula>0.00001</formula>
    </cfRule>
  </conditionalFormatting>
  <conditionalFormatting sqref="F59">
    <cfRule type="cellIs" dxfId="13" priority="12" stopIfTrue="1" operator="equal">
      <formula>0</formula>
    </cfRule>
  </conditionalFormatting>
  <conditionalFormatting sqref="G59">
    <cfRule type="cellIs" dxfId="12" priority="11" stopIfTrue="1" operator="equal">
      <formula>0</formula>
    </cfRule>
  </conditionalFormatting>
  <conditionalFormatting sqref="H59">
    <cfRule type="cellIs" dxfId="11" priority="10" stopIfTrue="1" operator="equal">
      <formula>0</formula>
    </cfRule>
  </conditionalFormatting>
  <conditionalFormatting sqref="I59">
    <cfRule type="cellIs" dxfId="10" priority="9" stopIfTrue="1" operator="equal">
      <formula>0</formula>
    </cfRule>
  </conditionalFormatting>
  <conditionalFormatting sqref="F59">
    <cfRule type="cellIs" dxfId="9" priority="8" stopIfTrue="1" operator="equal">
      <formula>0</formula>
    </cfRule>
  </conditionalFormatting>
  <conditionalFormatting sqref="G59">
    <cfRule type="cellIs" dxfId="8" priority="7" stopIfTrue="1" operator="equal">
      <formula>0</formula>
    </cfRule>
  </conditionalFormatting>
  <conditionalFormatting sqref="D55">
    <cfRule type="expression" dxfId="7" priority="6" stopIfTrue="1">
      <formula>F55+H55=0</formula>
    </cfRule>
  </conditionalFormatting>
  <conditionalFormatting sqref="E49:E53 E55">
    <cfRule type="expression" dxfId="6" priority="5" stopIfTrue="1">
      <formula>H49=0</formula>
    </cfRule>
  </conditionalFormatting>
  <conditionalFormatting sqref="D56 D48 D54">
    <cfRule type="expression" dxfId="5" priority="4" stopIfTrue="1">
      <formula>F48+H48=0</formula>
    </cfRule>
  </conditionalFormatting>
  <conditionalFormatting sqref="E48 E54 E56">
    <cfRule type="expression" dxfId="4" priority="3" stopIfTrue="1">
      <formula>H48=0</formula>
    </cfRule>
  </conditionalFormatting>
  <conditionalFormatting sqref="D58:E58">
    <cfRule type="cellIs" dxfId="3" priority="2" stopIfTrue="1" operator="equal">
      <formula>0</formula>
    </cfRule>
  </conditionalFormatting>
  <conditionalFormatting sqref="F59:G59">
    <cfRule type="cellIs" dxfId="2" priority="1" stopIfTrue="1" operator="equal">
      <formula>0</formula>
    </cfRule>
  </conditionalFormatting>
  <conditionalFormatting sqref="D49:D53">
    <cfRule type="expression" dxfId="1" priority="26" stopIfTrue="1">
      <formula>F17+H49=0</formula>
    </cfRule>
  </conditionalFormatting>
  <conditionalFormatting sqref="D17:D21">
    <cfRule type="expression" dxfId="0" priority="27" stopIfTrue="1">
      <formula>#REF!+H17=0</formula>
    </cfRule>
  </conditionalFormatting>
  <printOptions horizontalCentered="1"/>
  <pageMargins left="0.62992125984251968" right="0.6692913385826772" top="0.59055118110236227" bottom="0.59055118110236227" header="0.31496062992125984" footer="0.11811023622047245"/>
  <pageSetup paperSize="9" scale="60" orientation="portrait" r:id="rId1"/>
  <headerFooter alignWithMargins="0"/>
  <ignoredErrors>
    <ignoredError sqref="H23:I23 E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Orria2">
    <tabColor indexed="47"/>
  </sheetPr>
  <dimension ref="A1:V234"/>
  <sheetViews>
    <sheetView zoomScale="85" zoomScaleNormal="85" workbookViewId="0">
      <selection activeCell="A7" sqref="A7:XFD234"/>
    </sheetView>
  </sheetViews>
  <sheetFormatPr defaultRowHeight="11.25" x14ac:dyDescent="0.2"/>
  <cols>
    <col min="1" max="1" width="13.7109375" style="2" customWidth="1"/>
    <col min="2" max="2" width="10.7109375" style="15" bestFit="1" customWidth="1"/>
    <col min="3" max="3" width="9.140625" style="2" customWidth="1"/>
    <col min="4" max="4" width="11.140625" style="8" bestFit="1" customWidth="1"/>
    <col min="5" max="5" width="7.42578125" style="2" bestFit="1" customWidth="1"/>
    <col min="6" max="6" width="11.28515625" style="2" customWidth="1"/>
    <col min="7" max="7" width="18.28515625" style="2" customWidth="1"/>
    <col min="8" max="8" width="7.42578125" style="2" customWidth="1"/>
    <col min="9" max="9" width="7" style="2" customWidth="1"/>
    <col min="10" max="10" width="17" style="2" bestFit="1" customWidth="1"/>
    <col min="11" max="11" width="10.7109375" style="15" bestFit="1" customWidth="1"/>
    <col min="12" max="12" width="9" style="15" bestFit="1" customWidth="1"/>
    <col min="13" max="13" width="13.5703125" style="15" bestFit="1" customWidth="1"/>
    <col min="14" max="14" width="10.28515625" style="15" bestFit="1" customWidth="1"/>
    <col min="15" max="15" width="10.85546875" style="10" bestFit="1" customWidth="1"/>
    <col min="16" max="16" width="6.5703125" style="10" customWidth="1"/>
    <col min="17" max="17" width="5.42578125" style="10" customWidth="1"/>
    <col min="18" max="18" width="6.7109375" style="10" customWidth="1"/>
    <col min="19" max="19" width="3.85546875" style="2" bestFit="1" customWidth="1"/>
    <col min="20" max="20" width="13" style="8" bestFit="1" customWidth="1"/>
    <col min="21" max="21" width="14.5703125" style="8" bestFit="1" customWidth="1"/>
    <col min="22" max="16384" width="9.140625" style="2"/>
  </cols>
  <sheetData>
    <row r="1" spans="1:22" x14ac:dyDescent="0.2">
      <c r="A1" s="3" t="s">
        <v>69</v>
      </c>
      <c r="B1" s="17"/>
      <c r="C1" s="4"/>
      <c r="D1" s="7"/>
      <c r="E1" s="4"/>
      <c r="F1" s="4"/>
      <c r="G1" s="4"/>
      <c r="H1" s="4"/>
      <c r="I1" s="4"/>
      <c r="J1" s="4"/>
    </row>
    <row r="2" spans="1:22" x14ac:dyDescent="0.2">
      <c r="A2" s="3"/>
      <c r="B2" s="17"/>
      <c r="C2" s="4"/>
      <c r="D2" s="7"/>
      <c r="E2" s="4"/>
      <c r="F2" s="4"/>
      <c r="G2" s="4"/>
      <c r="H2" s="4"/>
      <c r="I2" s="4"/>
      <c r="J2" s="4"/>
      <c r="M2" s="184"/>
      <c r="N2" s="184"/>
    </row>
    <row r="3" spans="1:22" x14ac:dyDescent="0.2">
      <c r="A3" s="3"/>
      <c r="B3" s="17"/>
      <c r="C3" s="4"/>
      <c r="D3" s="7"/>
      <c r="E3" s="4"/>
      <c r="F3" s="4"/>
      <c r="G3" s="4"/>
      <c r="H3" s="4"/>
      <c r="I3" s="4"/>
      <c r="J3" s="4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</row>
    <row r="6" spans="1:22" ht="22.5" x14ac:dyDescent="0.2">
      <c r="A6" s="5" t="s">
        <v>70</v>
      </c>
      <c r="B6" s="18" t="s">
        <v>71</v>
      </c>
      <c r="C6" s="6" t="s">
        <v>72</v>
      </c>
      <c r="D6" s="9" t="s">
        <v>57</v>
      </c>
      <c r="E6" s="5" t="s">
        <v>73</v>
      </c>
      <c r="F6" s="6" t="s">
        <v>74</v>
      </c>
      <c r="G6" s="6" t="s">
        <v>75</v>
      </c>
      <c r="H6" s="6" t="s">
        <v>8</v>
      </c>
      <c r="I6" s="6" t="s">
        <v>9</v>
      </c>
      <c r="J6" s="6" t="s">
        <v>7</v>
      </c>
      <c r="K6" s="16" t="s">
        <v>76</v>
      </c>
      <c r="L6" s="16" t="s">
        <v>77</v>
      </c>
      <c r="M6" s="16" t="s">
        <v>78</v>
      </c>
      <c r="N6" s="16" t="s">
        <v>79</v>
      </c>
      <c r="O6" s="11" t="s">
        <v>80</v>
      </c>
      <c r="P6" s="12" t="s">
        <v>81</v>
      </c>
      <c r="Q6" s="13" t="s">
        <v>82</v>
      </c>
      <c r="R6" s="14" t="s">
        <v>56</v>
      </c>
      <c r="S6" s="2" t="s">
        <v>83</v>
      </c>
      <c r="T6" s="8" t="s">
        <v>84</v>
      </c>
      <c r="U6" s="8" t="s">
        <v>85</v>
      </c>
      <c r="V6" s="2" t="s">
        <v>86</v>
      </c>
    </row>
    <row r="7" spans="1:22" ht="12.75" x14ac:dyDescent="0.2">
      <c r="A7" s="113" t="s">
        <v>92</v>
      </c>
      <c r="B7" s="114">
        <v>44958</v>
      </c>
      <c r="C7" s="113" t="s">
        <v>93</v>
      </c>
      <c r="D7">
        <v>807.51</v>
      </c>
      <c r="E7">
        <v>20</v>
      </c>
      <c r="L7" s="15">
        <f>+B7</f>
        <v>44958</v>
      </c>
      <c r="N7" s="185">
        <f>+O7</f>
        <v>44977</v>
      </c>
      <c r="O7" s="114">
        <v>44977</v>
      </c>
      <c r="P7" s="10">
        <f t="shared" ref="P7:P70" si="0">+L7-N7</f>
        <v>-19</v>
      </c>
      <c r="Q7" s="10">
        <f t="shared" ref="Q7:Q70" si="1">+N7-O7</f>
        <v>0</v>
      </c>
      <c r="R7" s="10">
        <f t="shared" ref="R7:R70" si="2">+L7-O7</f>
        <v>-19</v>
      </c>
      <c r="S7" s="10">
        <f t="shared" ref="S7:S70" si="3">+R7-30</f>
        <v>-49</v>
      </c>
    </row>
    <row r="8" spans="1:22" ht="12.75" x14ac:dyDescent="0.2">
      <c r="A8" s="113" t="s">
        <v>94</v>
      </c>
      <c r="B8" s="114">
        <v>44927</v>
      </c>
      <c r="C8" s="113" t="s">
        <v>95</v>
      </c>
      <c r="D8">
        <v>644.33000000000004</v>
      </c>
      <c r="E8">
        <v>20</v>
      </c>
      <c r="L8" s="15">
        <f t="shared" ref="L8:L71" si="4">+B8</f>
        <v>44927</v>
      </c>
      <c r="N8" s="185">
        <f t="shared" ref="N8:N71" si="5">+O8</f>
        <v>44927</v>
      </c>
      <c r="O8" s="114">
        <v>44927</v>
      </c>
      <c r="P8" s="10">
        <f t="shared" si="0"/>
        <v>0</v>
      </c>
      <c r="Q8" s="10">
        <f t="shared" si="1"/>
        <v>0</v>
      </c>
      <c r="R8" s="10">
        <f t="shared" si="2"/>
        <v>0</v>
      </c>
      <c r="S8" s="10">
        <f t="shared" si="3"/>
        <v>-30</v>
      </c>
    </row>
    <row r="9" spans="1:22" ht="12.75" x14ac:dyDescent="0.2">
      <c r="A9" s="113" t="s">
        <v>96</v>
      </c>
      <c r="B9" s="114">
        <v>44927</v>
      </c>
      <c r="C9" s="113" t="s">
        <v>97</v>
      </c>
      <c r="D9">
        <v>205.7</v>
      </c>
      <c r="E9">
        <v>20</v>
      </c>
      <c r="L9" s="15">
        <f t="shared" si="4"/>
        <v>44927</v>
      </c>
      <c r="N9" s="185">
        <f t="shared" si="5"/>
        <v>44931</v>
      </c>
      <c r="O9" s="114">
        <v>44931</v>
      </c>
      <c r="P9" s="10">
        <f t="shared" si="0"/>
        <v>-4</v>
      </c>
      <c r="Q9" s="10">
        <f t="shared" si="1"/>
        <v>0</v>
      </c>
      <c r="R9" s="10">
        <f t="shared" si="2"/>
        <v>-4</v>
      </c>
      <c r="S9" s="10">
        <f t="shared" si="3"/>
        <v>-34</v>
      </c>
    </row>
    <row r="10" spans="1:22" ht="12.75" x14ac:dyDescent="0.2">
      <c r="A10" s="113" t="s">
        <v>98</v>
      </c>
      <c r="B10" s="114">
        <v>44927</v>
      </c>
      <c r="C10" s="113" t="s">
        <v>99</v>
      </c>
      <c r="D10">
        <v>807.51</v>
      </c>
      <c r="E10">
        <v>20</v>
      </c>
      <c r="L10" s="15">
        <f t="shared" si="4"/>
        <v>44927</v>
      </c>
      <c r="N10" s="185">
        <f t="shared" si="5"/>
        <v>44939</v>
      </c>
      <c r="O10" s="114">
        <v>44939</v>
      </c>
      <c r="P10" s="10">
        <f t="shared" si="0"/>
        <v>-12</v>
      </c>
      <c r="Q10" s="10">
        <f t="shared" si="1"/>
        <v>0</v>
      </c>
      <c r="R10" s="10">
        <f t="shared" si="2"/>
        <v>-12</v>
      </c>
      <c r="S10" s="10">
        <f t="shared" si="3"/>
        <v>-42</v>
      </c>
    </row>
    <row r="11" spans="1:22" ht="12.75" x14ac:dyDescent="0.2">
      <c r="A11" s="113" t="s">
        <v>100</v>
      </c>
      <c r="B11" s="114">
        <v>44935</v>
      </c>
      <c r="C11" s="113" t="s">
        <v>101</v>
      </c>
      <c r="D11">
        <v>145.19999999999999</v>
      </c>
      <c r="E11">
        <v>20</v>
      </c>
      <c r="L11" s="15">
        <f t="shared" si="4"/>
        <v>44935</v>
      </c>
      <c r="N11" s="185">
        <f t="shared" si="5"/>
        <v>44956</v>
      </c>
      <c r="O11" s="114">
        <v>44956</v>
      </c>
      <c r="P11" s="10">
        <f t="shared" si="0"/>
        <v>-21</v>
      </c>
      <c r="Q11" s="10">
        <f t="shared" si="1"/>
        <v>0</v>
      </c>
      <c r="R11" s="10">
        <f t="shared" si="2"/>
        <v>-21</v>
      </c>
      <c r="S11" s="10">
        <f t="shared" si="3"/>
        <v>-51</v>
      </c>
    </row>
    <row r="12" spans="1:22" ht="12.75" x14ac:dyDescent="0.2">
      <c r="A12" s="113" t="s">
        <v>102</v>
      </c>
      <c r="B12" s="114">
        <v>44934</v>
      </c>
      <c r="C12" s="113" t="s">
        <v>103</v>
      </c>
      <c r="D12">
        <v>145.19999999999999</v>
      </c>
      <c r="E12">
        <v>20</v>
      </c>
      <c r="L12" s="15">
        <f t="shared" si="4"/>
        <v>44934</v>
      </c>
      <c r="N12" s="185">
        <f t="shared" si="5"/>
        <v>44956</v>
      </c>
      <c r="O12" s="114">
        <v>44956</v>
      </c>
      <c r="P12" s="10">
        <f t="shared" si="0"/>
        <v>-22</v>
      </c>
      <c r="Q12" s="10">
        <f t="shared" si="1"/>
        <v>0</v>
      </c>
      <c r="R12" s="10">
        <f t="shared" si="2"/>
        <v>-22</v>
      </c>
      <c r="S12" s="10">
        <f t="shared" si="3"/>
        <v>-52</v>
      </c>
    </row>
    <row r="13" spans="1:22" ht="12.75" x14ac:dyDescent="0.2">
      <c r="A13" s="113" t="s">
        <v>104</v>
      </c>
      <c r="B13" s="114">
        <v>44958</v>
      </c>
      <c r="C13" s="113" t="s">
        <v>105</v>
      </c>
      <c r="D13">
        <v>717.77</v>
      </c>
      <c r="E13">
        <v>20</v>
      </c>
      <c r="K13" s="2"/>
      <c r="L13" s="15">
        <f t="shared" si="4"/>
        <v>44958</v>
      </c>
      <c r="N13" s="185">
        <f t="shared" si="5"/>
        <v>44958</v>
      </c>
      <c r="O13" s="114">
        <v>44958</v>
      </c>
      <c r="P13" s="10">
        <f t="shared" si="0"/>
        <v>0</v>
      </c>
      <c r="Q13" s="10">
        <f t="shared" si="1"/>
        <v>0</v>
      </c>
      <c r="R13" s="10">
        <f t="shared" si="2"/>
        <v>0</v>
      </c>
      <c r="S13" s="10">
        <f t="shared" si="3"/>
        <v>-30</v>
      </c>
    </row>
    <row r="14" spans="1:22" ht="12.75" x14ac:dyDescent="0.2">
      <c r="A14" s="113" t="s">
        <v>106</v>
      </c>
      <c r="B14" s="114">
        <v>44928</v>
      </c>
      <c r="C14" s="113" t="s">
        <v>107</v>
      </c>
      <c r="D14">
        <v>61.41</v>
      </c>
      <c r="E14">
        <v>20</v>
      </c>
      <c r="K14" s="2"/>
      <c r="L14" s="15">
        <f t="shared" si="4"/>
        <v>44928</v>
      </c>
      <c r="N14" s="185">
        <f t="shared" si="5"/>
        <v>44931</v>
      </c>
      <c r="O14" s="114">
        <v>44931</v>
      </c>
      <c r="P14" s="10">
        <f t="shared" si="0"/>
        <v>-3</v>
      </c>
      <c r="Q14" s="10">
        <f t="shared" si="1"/>
        <v>0</v>
      </c>
      <c r="R14" s="10">
        <f t="shared" si="2"/>
        <v>-3</v>
      </c>
      <c r="S14" s="10">
        <f t="shared" si="3"/>
        <v>-33</v>
      </c>
    </row>
    <row r="15" spans="1:22" ht="12.75" x14ac:dyDescent="0.2">
      <c r="A15" s="113" t="s">
        <v>108</v>
      </c>
      <c r="B15" s="114">
        <v>44986</v>
      </c>
      <c r="C15" s="113" t="s">
        <v>109</v>
      </c>
      <c r="D15">
        <v>681.05</v>
      </c>
      <c r="E15">
        <v>20</v>
      </c>
      <c r="K15" s="2"/>
      <c r="L15" s="15">
        <f t="shared" si="4"/>
        <v>44986</v>
      </c>
      <c r="N15" s="185">
        <f t="shared" si="5"/>
        <v>44986</v>
      </c>
      <c r="O15" s="114">
        <v>44986</v>
      </c>
      <c r="P15" s="10">
        <f t="shared" si="0"/>
        <v>0</v>
      </c>
      <c r="Q15" s="10">
        <f t="shared" si="1"/>
        <v>0</v>
      </c>
      <c r="R15" s="10">
        <f t="shared" si="2"/>
        <v>0</v>
      </c>
      <c r="S15" s="10">
        <f t="shared" si="3"/>
        <v>-30</v>
      </c>
    </row>
    <row r="16" spans="1:22" ht="12.75" x14ac:dyDescent="0.2">
      <c r="A16" s="113" t="s">
        <v>110</v>
      </c>
      <c r="B16" s="114">
        <v>44986</v>
      </c>
      <c r="C16" s="113" t="s">
        <v>111</v>
      </c>
      <c r="D16">
        <v>205.7</v>
      </c>
      <c r="E16">
        <v>20</v>
      </c>
      <c r="K16" s="2"/>
      <c r="L16" s="15">
        <f t="shared" si="4"/>
        <v>44986</v>
      </c>
      <c r="N16" s="185">
        <f t="shared" si="5"/>
        <v>44991</v>
      </c>
      <c r="O16" s="114">
        <v>44991</v>
      </c>
      <c r="P16" s="10">
        <f t="shared" si="0"/>
        <v>-5</v>
      </c>
      <c r="Q16" s="10">
        <f t="shared" si="1"/>
        <v>0</v>
      </c>
      <c r="R16" s="10">
        <f t="shared" si="2"/>
        <v>-5</v>
      </c>
      <c r="S16" s="10">
        <f t="shared" si="3"/>
        <v>-35</v>
      </c>
    </row>
    <row r="17" spans="1:19" ht="12.75" x14ac:dyDescent="0.2">
      <c r="A17" s="113" t="s">
        <v>112</v>
      </c>
      <c r="B17" s="114">
        <v>44986</v>
      </c>
      <c r="C17" s="113" t="s">
        <v>113</v>
      </c>
      <c r="D17">
        <v>61.41</v>
      </c>
      <c r="E17">
        <v>20</v>
      </c>
      <c r="K17" s="2"/>
      <c r="L17" s="15">
        <f t="shared" si="4"/>
        <v>44986</v>
      </c>
      <c r="N17" s="185">
        <f t="shared" si="5"/>
        <v>44991</v>
      </c>
      <c r="O17" s="114">
        <v>44991</v>
      </c>
      <c r="P17" s="10">
        <f t="shared" si="0"/>
        <v>-5</v>
      </c>
      <c r="Q17" s="10">
        <f t="shared" si="1"/>
        <v>0</v>
      </c>
      <c r="R17" s="10">
        <f t="shared" si="2"/>
        <v>-5</v>
      </c>
      <c r="S17" s="10">
        <f t="shared" si="3"/>
        <v>-35</v>
      </c>
    </row>
    <row r="18" spans="1:19" ht="12.75" x14ac:dyDescent="0.2">
      <c r="A18" s="113" t="s">
        <v>114</v>
      </c>
      <c r="B18" s="114">
        <v>44958</v>
      </c>
      <c r="C18" s="113" t="s">
        <v>115</v>
      </c>
      <c r="D18">
        <v>61.41</v>
      </c>
      <c r="E18">
        <v>20</v>
      </c>
      <c r="K18" s="2"/>
      <c r="L18" s="15">
        <f t="shared" si="4"/>
        <v>44958</v>
      </c>
      <c r="N18" s="185">
        <f t="shared" si="5"/>
        <v>44963</v>
      </c>
      <c r="O18" s="114">
        <v>44963</v>
      </c>
      <c r="P18" s="10">
        <f t="shared" si="0"/>
        <v>-5</v>
      </c>
      <c r="Q18" s="10">
        <f t="shared" si="1"/>
        <v>0</v>
      </c>
      <c r="R18" s="10">
        <f t="shared" si="2"/>
        <v>-5</v>
      </c>
      <c r="S18" s="10">
        <f t="shared" si="3"/>
        <v>-35</v>
      </c>
    </row>
    <row r="19" spans="1:19" ht="12.75" x14ac:dyDescent="0.2">
      <c r="A19" s="113" t="s">
        <v>116</v>
      </c>
      <c r="B19" s="114">
        <v>44985</v>
      </c>
      <c r="C19" s="113" t="s">
        <v>117</v>
      </c>
      <c r="D19">
        <v>1443.03</v>
      </c>
      <c r="E19">
        <v>20</v>
      </c>
      <c r="K19" s="2"/>
      <c r="L19" s="15">
        <f t="shared" si="4"/>
        <v>44985</v>
      </c>
      <c r="N19" s="185">
        <f t="shared" si="5"/>
        <v>45000</v>
      </c>
      <c r="O19" s="114">
        <v>45000</v>
      </c>
      <c r="P19" s="10">
        <f t="shared" si="0"/>
        <v>-15</v>
      </c>
      <c r="Q19" s="10">
        <f t="shared" si="1"/>
        <v>0</v>
      </c>
      <c r="R19" s="10">
        <f t="shared" si="2"/>
        <v>-15</v>
      </c>
      <c r="S19" s="10">
        <f t="shared" si="3"/>
        <v>-45</v>
      </c>
    </row>
    <row r="20" spans="1:19" ht="12.75" x14ac:dyDescent="0.2">
      <c r="A20" s="113" t="s">
        <v>118</v>
      </c>
      <c r="B20" s="114">
        <v>44958</v>
      </c>
      <c r="C20" s="113" t="s">
        <v>119</v>
      </c>
      <c r="D20">
        <v>205.7</v>
      </c>
      <c r="E20">
        <v>20</v>
      </c>
      <c r="K20" s="2"/>
      <c r="L20" s="15">
        <f t="shared" si="4"/>
        <v>44958</v>
      </c>
      <c r="N20" s="185">
        <f t="shared" si="5"/>
        <v>44963</v>
      </c>
      <c r="O20" s="114">
        <v>44963</v>
      </c>
      <c r="P20" s="10">
        <f t="shared" si="0"/>
        <v>-5</v>
      </c>
      <c r="Q20" s="10">
        <f t="shared" si="1"/>
        <v>0</v>
      </c>
      <c r="R20" s="10">
        <f t="shared" si="2"/>
        <v>-5</v>
      </c>
      <c r="S20" s="10">
        <f t="shared" si="3"/>
        <v>-35</v>
      </c>
    </row>
    <row r="21" spans="1:19" ht="12.75" x14ac:dyDescent="0.2">
      <c r="A21" s="113" t="s">
        <v>120</v>
      </c>
      <c r="B21" s="114">
        <v>44986</v>
      </c>
      <c r="C21" s="113" t="s">
        <v>121</v>
      </c>
      <c r="D21">
        <v>807.51</v>
      </c>
      <c r="E21">
        <v>20</v>
      </c>
      <c r="K21" s="2"/>
      <c r="L21" s="15">
        <f t="shared" si="4"/>
        <v>44986</v>
      </c>
      <c r="N21" s="185">
        <f t="shared" si="5"/>
        <v>45000</v>
      </c>
      <c r="O21" s="114">
        <v>45000</v>
      </c>
      <c r="P21" s="10">
        <f t="shared" si="0"/>
        <v>-14</v>
      </c>
      <c r="Q21" s="10">
        <f t="shared" si="1"/>
        <v>0</v>
      </c>
      <c r="R21" s="10">
        <f t="shared" si="2"/>
        <v>-14</v>
      </c>
      <c r="S21" s="10">
        <f t="shared" si="3"/>
        <v>-44</v>
      </c>
    </row>
    <row r="22" spans="1:19" ht="12.75" x14ac:dyDescent="0.2">
      <c r="A22" s="113" t="s">
        <v>122</v>
      </c>
      <c r="B22" s="114">
        <v>45016</v>
      </c>
      <c r="C22" s="113" t="s">
        <v>123</v>
      </c>
      <c r="D22">
        <v>1555.94</v>
      </c>
      <c r="E22">
        <v>20</v>
      </c>
      <c r="K22" s="2"/>
      <c r="L22" s="15">
        <f t="shared" si="4"/>
        <v>45016</v>
      </c>
      <c r="N22" s="185">
        <f t="shared" si="5"/>
        <v>45015</v>
      </c>
      <c r="O22" s="114">
        <v>45015</v>
      </c>
      <c r="P22" s="10">
        <f t="shared" si="0"/>
        <v>1</v>
      </c>
      <c r="Q22" s="10">
        <f t="shared" si="1"/>
        <v>0</v>
      </c>
      <c r="R22" s="10">
        <f t="shared" si="2"/>
        <v>1</v>
      </c>
      <c r="S22" s="10">
        <f t="shared" si="3"/>
        <v>-29</v>
      </c>
    </row>
    <row r="23" spans="1:19" ht="12.75" x14ac:dyDescent="0.2">
      <c r="A23" s="113" t="s">
        <v>124</v>
      </c>
      <c r="B23" s="114">
        <v>44942</v>
      </c>
      <c r="C23" s="113" t="s">
        <v>125</v>
      </c>
      <c r="D23">
        <v>7.84</v>
      </c>
      <c r="E23">
        <v>21</v>
      </c>
      <c r="K23" s="2"/>
      <c r="L23" s="15">
        <f t="shared" si="4"/>
        <v>44942</v>
      </c>
      <c r="N23" s="185">
        <f t="shared" si="5"/>
        <v>44946</v>
      </c>
      <c r="O23" s="114">
        <v>44946</v>
      </c>
      <c r="P23" s="10">
        <f t="shared" si="0"/>
        <v>-4</v>
      </c>
      <c r="Q23" s="10">
        <f t="shared" si="1"/>
        <v>0</v>
      </c>
      <c r="R23" s="10">
        <f t="shared" si="2"/>
        <v>-4</v>
      </c>
      <c r="S23" s="10">
        <f t="shared" si="3"/>
        <v>-34</v>
      </c>
    </row>
    <row r="24" spans="1:19" ht="12.75" x14ac:dyDescent="0.2">
      <c r="A24" s="113" t="s">
        <v>126</v>
      </c>
      <c r="B24" s="114">
        <v>44945</v>
      </c>
      <c r="C24" s="113" t="s">
        <v>127</v>
      </c>
      <c r="D24">
        <v>689</v>
      </c>
      <c r="E24">
        <v>21</v>
      </c>
      <c r="K24" s="2"/>
      <c r="L24" s="15">
        <f t="shared" si="4"/>
        <v>44945</v>
      </c>
      <c r="N24" s="185">
        <f t="shared" si="5"/>
        <v>44977</v>
      </c>
      <c r="O24" s="114">
        <v>44977</v>
      </c>
      <c r="P24" s="10">
        <f t="shared" si="0"/>
        <v>-32</v>
      </c>
      <c r="Q24" s="10">
        <f t="shared" si="1"/>
        <v>0</v>
      </c>
      <c r="R24" s="10">
        <f t="shared" si="2"/>
        <v>-32</v>
      </c>
      <c r="S24" s="10">
        <f t="shared" si="3"/>
        <v>-62</v>
      </c>
    </row>
    <row r="25" spans="1:19" ht="12.75" x14ac:dyDescent="0.2">
      <c r="A25" s="113" t="s">
        <v>128</v>
      </c>
      <c r="B25" s="114">
        <v>44972</v>
      </c>
      <c r="C25" s="113" t="s">
        <v>129</v>
      </c>
      <c r="D25">
        <v>625.79</v>
      </c>
      <c r="E25">
        <v>21</v>
      </c>
      <c r="K25" s="2"/>
      <c r="L25" s="15">
        <f t="shared" si="4"/>
        <v>44972</v>
      </c>
      <c r="N25" s="185">
        <f t="shared" si="5"/>
        <v>45000</v>
      </c>
      <c r="O25" s="114">
        <v>45000</v>
      </c>
      <c r="P25" s="10">
        <f t="shared" si="0"/>
        <v>-28</v>
      </c>
      <c r="Q25" s="10">
        <f t="shared" si="1"/>
        <v>0</v>
      </c>
      <c r="R25" s="10">
        <f t="shared" si="2"/>
        <v>-28</v>
      </c>
      <c r="S25" s="10">
        <f t="shared" si="3"/>
        <v>-58</v>
      </c>
    </row>
    <row r="26" spans="1:19" ht="12.75" x14ac:dyDescent="0.2">
      <c r="A26" s="113" t="s">
        <v>130</v>
      </c>
      <c r="B26" s="114">
        <v>44972</v>
      </c>
      <c r="C26" s="113" t="s">
        <v>131</v>
      </c>
      <c r="D26">
        <v>201.94</v>
      </c>
      <c r="E26">
        <v>21</v>
      </c>
      <c r="K26" s="2"/>
      <c r="L26" s="15">
        <f t="shared" si="4"/>
        <v>44972</v>
      </c>
      <c r="N26" s="185">
        <f t="shared" si="5"/>
        <v>44977</v>
      </c>
      <c r="O26" s="114">
        <v>44977</v>
      </c>
      <c r="P26" s="10">
        <f t="shared" si="0"/>
        <v>-5</v>
      </c>
      <c r="Q26" s="10">
        <f t="shared" si="1"/>
        <v>0</v>
      </c>
      <c r="R26" s="10">
        <f t="shared" si="2"/>
        <v>-5</v>
      </c>
      <c r="S26" s="10">
        <f t="shared" si="3"/>
        <v>-35</v>
      </c>
    </row>
    <row r="27" spans="1:19" ht="12.75" x14ac:dyDescent="0.2">
      <c r="A27" s="113" t="s">
        <v>132</v>
      </c>
      <c r="B27" s="114">
        <v>44973</v>
      </c>
      <c r="C27" s="113" t="s">
        <v>133</v>
      </c>
      <c r="D27">
        <v>1312.18</v>
      </c>
      <c r="E27">
        <v>21</v>
      </c>
      <c r="K27" s="2"/>
      <c r="L27" s="15">
        <f t="shared" si="4"/>
        <v>44973</v>
      </c>
      <c r="N27" s="185">
        <f t="shared" si="5"/>
        <v>45015</v>
      </c>
      <c r="O27" s="114">
        <v>45015</v>
      </c>
      <c r="P27" s="10">
        <f t="shared" si="0"/>
        <v>-42</v>
      </c>
      <c r="Q27" s="10">
        <f t="shared" si="1"/>
        <v>0</v>
      </c>
      <c r="R27" s="10">
        <f t="shared" si="2"/>
        <v>-42</v>
      </c>
      <c r="S27" s="10">
        <f t="shared" si="3"/>
        <v>-72</v>
      </c>
    </row>
    <row r="28" spans="1:19" ht="12.75" x14ac:dyDescent="0.2">
      <c r="A28" s="113" t="s">
        <v>134</v>
      </c>
      <c r="B28" s="114">
        <v>44962</v>
      </c>
      <c r="C28" s="113" t="s">
        <v>135</v>
      </c>
      <c r="D28">
        <v>538.76</v>
      </c>
      <c r="E28">
        <v>21</v>
      </c>
      <c r="K28" s="2"/>
      <c r="L28" s="15">
        <f t="shared" si="4"/>
        <v>44962</v>
      </c>
      <c r="N28" s="185">
        <f t="shared" si="5"/>
        <v>44977</v>
      </c>
      <c r="O28" s="114">
        <v>44977</v>
      </c>
      <c r="P28" s="10">
        <f t="shared" si="0"/>
        <v>-15</v>
      </c>
      <c r="Q28" s="10">
        <f t="shared" si="1"/>
        <v>0</v>
      </c>
      <c r="R28" s="10">
        <f t="shared" si="2"/>
        <v>-15</v>
      </c>
      <c r="S28" s="10">
        <f t="shared" si="3"/>
        <v>-45</v>
      </c>
    </row>
    <row r="29" spans="1:19" ht="12.75" x14ac:dyDescent="0.2">
      <c r="A29" s="113" t="s">
        <v>136</v>
      </c>
      <c r="B29" s="114">
        <v>44973</v>
      </c>
      <c r="C29" s="113" t="s">
        <v>137</v>
      </c>
      <c r="D29">
        <v>520.29999999999995</v>
      </c>
      <c r="E29">
        <v>21</v>
      </c>
      <c r="K29" s="2"/>
      <c r="L29" s="15">
        <f t="shared" si="4"/>
        <v>44973</v>
      </c>
      <c r="N29" s="185">
        <f t="shared" si="5"/>
        <v>44978</v>
      </c>
      <c r="O29" s="114">
        <v>44978</v>
      </c>
      <c r="P29" s="10">
        <f t="shared" si="0"/>
        <v>-5</v>
      </c>
      <c r="Q29" s="10">
        <f t="shared" si="1"/>
        <v>0</v>
      </c>
      <c r="R29" s="10">
        <f t="shared" si="2"/>
        <v>-5</v>
      </c>
      <c r="S29" s="10">
        <f t="shared" si="3"/>
        <v>-35</v>
      </c>
    </row>
    <row r="30" spans="1:19" ht="12.75" x14ac:dyDescent="0.2">
      <c r="A30" s="113" t="s">
        <v>138</v>
      </c>
      <c r="B30" s="114">
        <v>44973</v>
      </c>
      <c r="C30" s="113" t="s">
        <v>139</v>
      </c>
      <c r="D30">
        <v>290.42</v>
      </c>
      <c r="E30">
        <v>21</v>
      </c>
      <c r="K30" s="2"/>
      <c r="L30" s="15">
        <f t="shared" si="4"/>
        <v>44973</v>
      </c>
      <c r="N30" s="185">
        <f t="shared" si="5"/>
        <v>44984</v>
      </c>
      <c r="O30" s="114">
        <v>44984</v>
      </c>
      <c r="P30" s="10">
        <f t="shared" si="0"/>
        <v>-11</v>
      </c>
      <c r="Q30" s="10">
        <f t="shared" si="1"/>
        <v>0</v>
      </c>
      <c r="R30" s="10">
        <f t="shared" si="2"/>
        <v>-11</v>
      </c>
      <c r="S30" s="10">
        <f t="shared" si="3"/>
        <v>-41</v>
      </c>
    </row>
    <row r="31" spans="1:19" ht="12.75" x14ac:dyDescent="0.2">
      <c r="A31" s="113" t="s">
        <v>140</v>
      </c>
      <c r="B31" s="114">
        <v>44957</v>
      </c>
      <c r="C31" s="113" t="s">
        <v>141</v>
      </c>
      <c r="D31">
        <v>184.6</v>
      </c>
      <c r="E31">
        <v>21</v>
      </c>
      <c r="K31" s="2"/>
      <c r="L31" s="15">
        <f t="shared" si="4"/>
        <v>44957</v>
      </c>
      <c r="N31" s="185">
        <f t="shared" si="5"/>
        <v>44984</v>
      </c>
      <c r="O31" s="114">
        <v>44984</v>
      </c>
      <c r="P31" s="10">
        <f t="shared" si="0"/>
        <v>-27</v>
      </c>
      <c r="Q31" s="10">
        <f t="shared" si="1"/>
        <v>0</v>
      </c>
      <c r="R31" s="10">
        <f t="shared" si="2"/>
        <v>-27</v>
      </c>
      <c r="S31" s="10">
        <f t="shared" si="3"/>
        <v>-57</v>
      </c>
    </row>
    <row r="32" spans="1:19" ht="12.75" x14ac:dyDescent="0.2">
      <c r="A32" s="113" t="s">
        <v>142</v>
      </c>
      <c r="B32" s="114">
        <v>44985</v>
      </c>
      <c r="C32" s="113" t="s">
        <v>143</v>
      </c>
      <c r="D32">
        <v>184.6</v>
      </c>
      <c r="E32">
        <v>21</v>
      </c>
      <c r="K32" s="2"/>
      <c r="L32" s="15">
        <f t="shared" si="4"/>
        <v>44985</v>
      </c>
      <c r="N32" s="185">
        <f t="shared" si="5"/>
        <v>45000</v>
      </c>
      <c r="O32" s="114">
        <v>45000</v>
      </c>
      <c r="P32" s="10">
        <f t="shared" si="0"/>
        <v>-15</v>
      </c>
      <c r="Q32" s="10">
        <f t="shared" si="1"/>
        <v>0</v>
      </c>
      <c r="R32" s="10">
        <f t="shared" si="2"/>
        <v>-15</v>
      </c>
      <c r="S32" s="10">
        <f t="shared" si="3"/>
        <v>-45</v>
      </c>
    </row>
    <row r="33" spans="1:19" ht="12.75" x14ac:dyDescent="0.2">
      <c r="A33" s="113" t="s">
        <v>144</v>
      </c>
      <c r="B33" s="114">
        <v>44984</v>
      </c>
      <c r="C33" s="113" t="s">
        <v>145</v>
      </c>
      <c r="D33">
        <v>18.329999999999998</v>
      </c>
      <c r="E33">
        <v>21</v>
      </c>
      <c r="K33" s="2"/>
      <c r="L33" s="15">
        <f t="shared" si="4"/>
        <v>44984</v>
      </c>
      <c r="N33" s="185">
        <f t="shared" si="5"/>
        <v>44987</v>
      </c>
      <c r="O33" s="114">
        <v>44987</v>
      </c>
      <c r="P33" s="10">
        <f t="shared" si="0"/>
        <v>-3</v>
      </c>
      <c r="Q33" s="10">
        <f t="shared" si="1"/>
        <v>0</v>
      </c>
      <c r="R33" s="10">
        <f t="shared" si="2"/>
        <v>-3</v>
      </c>
      <c r="S33" s="10">
        <f t="shared" si="3"/>
        <v>-33</v>
      </c>
    </row>
    <row r="34" spans="1:19" ht="12.75" x14ac:dyDescent="0.2">
      <c r="A34" s="113" t="s">
        <v>146</v>
      </c>
      <c r="B34" s="114">
        <v>44946</v>
      </c>
      <c r="C34" s="113" t="s">
        <v>147</v>
      </c>
      <c r="D34">
        <v>9.68</v>
      </c>
      <c r="E34">
        <v>21</v>
      </c>
      <c r="K34" s="2"/>
      <c r="L34" s="15">
        <f t="shared" si="4"/>
        <v>44946</v>
      </c>
      <c r="N34" s="185">
        <f t="shared" si="5"/>
        <v>44951</v>
      </c>
      <c r="O34" s="114">
        <v>44951</v>
      </c>
      <c r="P34" s="10">
        <f t="shared" si="0"/>
        <v>-5</v>
      </c>
      <c r="Q34" s="10">
        <f t="shared" si="1"/>
        <v>0</v>
      </c>
      <c r="R34" s="10">
        <f t="shared" si="2"/>
        <v>-5</v>
      </c>
      <c r="S34" s="10">
        <f t="shared" si="3"/>
        <v>-35</v>
      </c>
    </row>
    <row r="35" spans="1:19" ht="12.75" x14ac:dyDescent="0.2">
      <c r="A35" s="113" t="s">
        <v>148</v>
      </c>
      <c r="B35" s="114">
        <v>44939</v>
      </c>
      <c r="C35" s="113" t="s">
        <v>149</v>
      </c>
      <c r="D35">
        <v>1.21</v>
      </c>
      <c r="E35">
        <v>21</v>
      </c>
      <c r="K35" s="2"/>
      <c r="L35" s="15">
        <f t="shared" si="4"/>
        <v>44939</v>
      </c>
      <c r="N35" s="185">
        <f t="shared" si="5"/>
        <v>44944</v>
      </c>
      <c r="O35" s="114">
        <v>44944</v>
      </c>
      <c r="P35" s="10">
        <f t="shared" si="0"/>
        <v>-5</v>
      </c>
      <c r="Q35" s="10">
        <f t="shared" si="1"/>
        <v>0</v>
      </c>
      <c r="R35" s="10">
        <f t="shared" si="2"/>
        <v>-5</v>
      </c>
      <c r="S35" s="10">
        <f t="shared" si="3"/>
        <v>-35</v>
      </c>
    </row>
    <row r="36" spans="1:19" ht="12.75" x14ac:dyDescent="0.2">
      <c r="A36" s="113" t="s">
        <v>150</v>
      </c>
      <c r="B36" s="114">
        <v>44937</v>
      </c>
      <c r="C36" s="113" t="s">
        <v>151</v>
      </c>
      <c r="D36">
        <v>1.21</v>
      </c>
      <c r="E36">
        <v>21</v>
      </c>
      <c r="K36" s="2"/>
      <c r="L36" s="15">
        <f t="shared" si="4"/>
        <v>44937</v>
      </c>
      <c r="N36" s="185">
        <f t="shared" si="5"/>
        <v>44942</v>
      </c>
      <c r="O36" s="114">
        <v>44942</v>
      </c>
      <c r="P36" s="10">
        <f t="shared" si="0"/>
        <v>-5</v>
      </c>
      <c r="Q36" s="10">
        <f t="shared" si="1"/>
        <v>0</v>
      </c>
      <c r="R36" s="10">
        <f t="shared" si="2"/>
        <v>-5</v>
      </c>
      <c r="S36" s="10">
        <f t="shared" si="3"/>
        <v>-35</v>
      </c>
    </row>
    <row r="37" spans="1:19" ht="12.75" x14ac:dyDescent="0.2">
      <c r="A37" s="113" t="s">
        <v>152</v>
      </c>
      <c r="B37" s="114">
        <v>44987</v>
      </c>
      <c r="C37" s="113" t="s">
        <v>153</v>
      </c>
      <c r="D37">
        <v>76.900000000000006</v>
      </c>
      <c r="E37">
        <v>21</v>
      </c>
      <c r="K37" s="2"/>
      <c r="L37" s="15">
        <f t="shared" si="4"/>
        <v>44987</v>
      </c>
      <c r="N37" s="185">
        <f t="shared" si="5"/>
        <v>44993</v>
      </c>
      <c r="O37" s="114">
        <v>44993</v>
      </c>
      <c r="P37" s="10">
        <f t="shared" si="0"/>
        <v>-6</v>
      </c>
      <c r="Q37" s="10">
        <f t="shared" si="1"/>
        <v>0</v>
      </c>
      <c r="R37" s="10">
        <f t="shared" si="2"/>
        <v>-6</v>
      </c>
      <c r="S37" s="10">
        <f t="shared" si="3"/>
        <v>-36</v>
      </c>
    </row>
    <row r="38" spans="1:19" ht="12.75" x14ac:dyDescent="0.2">
      <c r="A38" s="113" t="s">
        <v>154</v>
      </c>
      <c r="B38" s="114">
        <v>44987</v>
      </c>
      <c r="C38" s="113" t="s">
        <v>155</v>
      </c>
      <c r="D38">
        <v>12.83</v>
      </c>
      <c r="E38">
        <v>21</v>
      </c>
      <c r="K38" s="2"/>
      <c r="L38" s="15">
        <f t="shared" si="4"/>
        <v>44987</v>
      </c>
      <c r="N38" s="185">
        <f t="shared" si="5"/>
        <v>44993</v>
      </c>
      <c r="O38" s="114">
        <v>44993</v>
      </c>
      <c r="P38" s="10">
        <f t="shared" si="0"/>
        <v>-6</v>
      </c>
      <c r="Q38" s="10">
        <f t="shared" si="1"/>
        <v>0</v>
      </c>
      <c r="R38" s="10">
        <f t="shared" si="2"/>
        <v>-6</v>
      </c>
      <c r="S38" s="10">
        <f t="shared" si="3"/>
        <v>-36</v>
      </c>
    </row>
    <row r="39" spans="1:19" ht="12.75" x14ac:dyDescent="0.2">
      <c r="A39" s="113" t="s">
        <v>156</v>
      </c>
      <c r="B39" s="114">
        <v>44987</v>
      </c>
      <c r="C39" s="113" t="s">
        <v>157</v>
      </c>
      <c r="D39">
        <v>280.55</v>
      </c>
      <c r="E39">
        <v>21</v>
      </c>
      <c r="K39" s="2"/>
      <c r="L39" s="15">
        <f t="shared" si="4"/>
        <v>44987</v>
      </c>
      <c r="N39" s="185">
        <f t="shared" si="5"/>
        <v>44993</v>
      </c>
      <c r="O39" s="114">
        <v>44993</v>
      </c>
      <c r="P39" s="10">
        <f t="shared" si="0"/>
        <v>-6</v>
      </c>
      <c r="Q39" s="10">
        <f t="shared" si="1"/>
        <v>0</v>
      </c>
      <c r="R39" s="10">
        <f t="shared" si="2"/>
        <v>-6</v>
      </c>
      <c r="S39" s="10">
        <f t="shared" si="3"/>
        <v>-36</v>
      </c>
    </row>
    <row r="40" spans="1:19" ht="12.75" x14ac:dyDescent="0.2">
      <c r="A40" s="113" t="s">
        <v>158</v>
      </c>
      <c r="B40" s="114">
        <v>44927</v>
      </c>
      <c r="C40" s="113" t="s">
        <v>159</v>
      </c>
      <c r="D40">
        <v>411.4</v>
      </c>
      <c r="E40">
        <v>21</v>
      </c>
      <c r="K40" s="2"/>
      <c r="L40" s="15">
        <f t="shared" si="4"/>
        <v>44927</v>
      </c>
      <c r="N40" s="185">
        <f t="shared" si="5"/>
        <v>45000</v>
      </c>
      <c r="O40" s="114">
        <v>45000</v>
      </c>
      <c r="P40" s="10">
        <f t="shared" si="0"/>
        <v>-73</v>
      </c>
      <c r="Q40" s="10">
        <f t="shared" si="1"/>
        <v>0</v>
      </c>
      <c r="R40" s="10">
        <f t="shared" si="2"/>
        <v>-73</v>
      </c>
      <c r="S40" s="10">
        <f t="shared" si="3"/>
        <v>-103</v>
      </c>
    </row>
    <row r="41" spans="1:19" ht="12.75" x14ac:dyDescent="0.2">
      <c r="A41" s="113" t="s">
        <v>160</v>
      </c>
      <c r="B41" s="114">
        <v>44984</v>
      </c>
      <c r="C41" s="113" t="s">
        <v>161</v>
      </c>
      <c r="D41">
        <v>491.19</v>
      </c>
      <c r="E41">
        <v>21</v>
      </c>
      <c r="K41" s="2"/>
      <c r="L41" s="15">
        <f t="shared" si="4"/>
        <v>44984</v>
      </c>
      <c r="N41" s="185">
        <f t="shared" si="5"/>
        <v>45014</v>
      </c>
      <c r="O41" s="114">
        <v>45014</v>
      </c>
      <c r="P41" s="10">
        <f t="shared" si="0"/>
        <v>-30</v>
      </c>
      <c r="Q41" s="10">
        <f t="shared" si="1"/>
        <v>0</v>
      </c>
      <c r="R41" s="10">
        <f t="shared" si="2"/>
        <v>-30</v>
      </c>
      <c r="S41" s="10">
        <f t="shared" si="3"/>
        <v>-60</v>
      </c>
    </row>
    <row r="42" spans="1:19" ht="12.75" x14ac:dyDescent="0.2">
      <c r="A42" s="113" t="s">
        <v>162</v>
      </c>
      <c r="B42" s="114">
        <v>44985</v>
      </c>
      <c r="C42" s="113" t="s">
        <v>163</v>
      </c>
      <c r="D42">
        <v>242</v>
      </c>
      <c r="E42">
        <v>21</v>
      </c>
      <c r="K42" s="2"/>
      <c r="L42" s="15">
        <f t="shared" si="4"/>
        <v>44985</v>
      </c>
      <c r="N42" s="185">
        <f t="shared" si="5"/>
        <v>45000</v>
      </c>
      <c r="O42" s="114">
        <v>45000</v>
      </c>
      <c r="P42" s="10">
        <f t="shared" si="0"/>
        <v>-15</v>
      </c>
      <c r="Q42" s="10">
        <f t="shared" si="1"/>
        <v>0</v>
      </c>
      <c r="R42" s="10">
        <f t="shared" si="2"/>
        <v>-15</v>
      </c>
      <c r="S42" s="10">
        <f t="shared" si="3"/>
        <v>-45</v>
      </c>
    </row>
    <row r="43" spans="1:19" ht="12.75" x14ac:dyDescent="0.2">
      <c r="A43" s="113" t="s">
        <v>164</v>
      </c>
      <c r="B43" s="114">
        <v>44985</v>
      </c>
      <c r="C43" s="113" t="s">
        <v>165</v>
      </c>
      <c r="D43">
        <v>170.37</v>
      </c>
      <c r="E43">
        <v>21</v>
      </c>
      <c r="K43" s="2"/>
      <c r="L43" s="15">
        <f t="shared" si="4"/>
        <v>44985</v>
      </c>
      <c r="N43" s="185">
        <f t="shared" si="5"/>
        <v>45000</v>
      </c>
      <c r="O43" s="114">
        <v>45000</v>
      </c>
      <c r="P43" s="10">
        <f t="shared" si="0"/>
        <v>-15</v>
      </c>
      <c r="Q43" s="10">
        <f t="shared" si="1"/>
        <v>0</v>
      </c>
      <c r="R43" s="10">
        <f t="shared" si="2"/>
        <v>-15</v>
      </c>
      <c r="S43" s="10">
        <f t="shared" si="3"/>
        <v>-45</v>
      </c>
    </row>
    <row r="44" spans="1:19" ht="12.75" x14ac:dyDescent="0.2">
      <c r="A44" s="113" t="s">
        <v>166</v>
      </c>
      <c r="B44" s="114">
        <v>44957</v>
      </c>
      <c r="C44" s="113" t="s">
        <v>167</v>
      </c>
      <c r="D44">
        <v>931.13</v>
      </c>
      <c r="E44">
        <v>21</v>
      </c>
      <c r="K44" s="2"/>
      <c r="L44" s="15">
        <f t="shared" si="4"/>
        <v>44957</v>
      </c>
      <c r="N44" s="185">
        <f t="shared" si="5"/>
        <v>44987</v>
      </c>
      <c r="O44" s="114">
        <v>44987</v>
      </c>
      <c r="P44" s="10">
        <f t="shared" si="0"/>
        <v>-30</v>
      </c>
      <c r="Q44" s="10">
        <f t="shared" si="1"/>
        <v>0</v>
      </c>
      <c r="R44" s="10">
        <f t="shared" si="2"/>
        <v>-30</v>
      </c>
      <c r="S44" s="10">
        <f t="shared" si="3"/>
        <v>-60</v>
      </c>
    </row>
    <row r="45" spans="1:19" ht="12.75" x14ac:dyDescent="0.2">
      <c r="A45" s="113" t="s">
        <v>168</v>
      </c>
      <c r="B45" s="114">
        <v>44994</v>
      </c>
      <c r="C45" s="113" t="s">
        <v>169</v>
      </c>
      <c r="D45">
        <v>502.15</v>
      </c>
      <c r="E45">
        <v>21</v>
      </c>
      <c r="K45" s="2"/>
      <c r="L45" s="15">
        <f t="shared" si="4"/>
        <v>44994</v>
      </c>
      <c r="N45" s="185">
        <f t="shared" si="5"/>
        <v>44994</v>
      </c>
      <c r="O45" s="114">
        <v>44994</v>
      </c>
      <c r="P45" s="10">
        <f t="shared" si="0"/>
        <v>0</v>
      </c>
      <c r="Q45" s="10">
        <f t="shared" si="1"/>
        <v>0</v>
      </c>
      <c r="R45" s="10">
        <f t="shared" si="2"/>
        <v>0</v>
      </c>
      <c r="S45" s="10">
        <f t="shared" si="3"/>
        <v>-30</v>
      </c>
    </row>
    <row r="46" spans="1:19" ht="12.75" x14ac:dyDescent="0.2">
      <c r="A46" s="113" t="s">
        <v>170</v>
      </c>
      <c r="B46" s="114">
        <v>45000</v>
      </c>
      <c r="C46" s="113" t="s">
        <v>171</v>
      </c>
      <c r="D46">
        <v>184.6</v>
      </c>
      <c r="E46">
        <v>21</v>
      </c>
      <c r="K46" s="2"/>
      <c r="L46" s="15">
        <f t="shared" si="4"/>
        <v>45000</v>
      </c>
      <c r="N46" s="185">
        <f t="shared" si="5"/>
        <v>45015</v>
      </c>
      <c r="O46" s="114">
        <v>45015</v>
      </c>
      <c r="P46" s="10">
        <f t="shared" si="0"/>
        <v>-15</v>
      </c>
      <c r="Q46" s="10">
        <f t="shared" si="1"/>
        <v>0</v>
      </c>
      <c r="R46" s="10">
        <f t="shared" si="2"/>
        <v>-15</v>
      </c>
      <c r="S46" s="10">
        <f t="shared" si="3"/>
        <v>-45</v>
      </c>
    </row>
    <row r="47" spans="1:19" ht="12.75" x14ac:dyDescent="0.2">
      <c r="A47" s="113" t="s">
        <v>172</v>
      </c>
      <c r="B47" s="114">
        <v>44986</v>
      </c>
      <c r="C47" s="113" t="s">
        <v>173</v>
      </c>
      <c r="D47">
        <v>532.4</v>
      </c>
      <c r="E47">
        <v>21</v>
      </c>
      <c r="K47" s="2"/>
      <c r="L47" s="15">
        <f t="shared" si="4"/>
        <v>44986</v>
      </c>
      <c r="N47" s="185">
        <f t="shared" si="5"/>
        <v>45000</v>
      </c>
      <c r="O47" s="114">
        <v>45000</v>
      </c>
      <c r="P47" s="10">
        <f t="shared" si="0"/>
        <v>-14</v>
      </c>
      <c r="Q47" s="10">
        <f t="shared" si="1"/>
        <v>0</v>
      </c>
      <c r="R47" s="10">
        <f t="shared" si="2"/>
        <v>-14</v>
      </c>
      <c r="S47" s="10">
        <f t="shared" si="3"/>
        <v>-44</v>
      </c>
    </row>
    <row r="48" spans="1:19" ht="12.75" x14ac:dyDescent="0.2">
      <c r="A48" s="113" t="s">
        <v>174</v>
      </c>
      <c r="B48" s="114">
        <v>44981</v>
      </c>
      <c r="C48" s="113" t="s">
        <v>175</v>
      </c>
      <c r="D48">
        <v>362.21</v>
      </c>
      <c r="E48">
        <v>21</v>
      </c>
      <c r="K48" s="2"/>
      <c r="L48" s="15">
        <f t="shared" si="4"/>
        <v>44981</v>
      </c>
      <c r="N48" s="185">
        <f t="shared" si="5"/>
        <v>45015</v>
      </c>
      <c r="O48" s="114">
        <v>45015</v>
      </c>
      <c r="P48" s="10">
        <f t="shared" si="0"/>
        <v>-34</v>
      </c>
      <c r="Q48" s="10">
        <f t="shared" si="1"/>
        <v>0</v>
      </c>
      <c r="R48" s="10">
        <f t="shared" si="2"/>
        <v>-34</v>
      </c>
      <c r="S48" s="10">
        <f t="shared" si="3"/>
        <v>-64</v>
      </c>
    </row>
    <row r="49" spans="1:19" ht="12.75" x14ac:dyDescent="0.2">
      <c r="A49" s="113" t="s">
        <v>176</v>
      </c>
      <c r="B49" s="114">
        <v>44938</v>
      </c>
      <c r="C49" s="113" t="s">
        <v>177</v>
      </c>
      <c r="D49">
        <v>19.329999999999998</v>
      </c>
      <c r="E49">
        <v>22</v>
      </c>
      <c r="K49" s="2"/>
      <c r="L49" s="15">
        <f t="shared" si="4"/>
        <v>44938</v>
      </c>
      <c r="N49" s="185">
        <f t="shared" si="5"/>
        <v>44943</v>
      </c>
      <c r="O49" s="114">
        <v>44943</v>
      </c>
      <c r="P49" s="10">
        <f t="shared" si="0"/>
        <v>-5</v>
      </c>
      <c r="Q49" s="10">
        <f t="shared" si="1"/>
        <v>0</v>
      </c>
      <c r="R49" s="10">
        <f t="shared" si="2"/>
        <v>-5</v>
      </c>
      <c r="S49" s="10">
        <f t="shared" si="3"/>
        <v>-35</v>
      </c>
    </row>
    <row r="50" spans="1:19" ht="12.75" x14ac:dyDescent="0.2">
      <c r="A50" s="113" t="s">
        <v>178</v>
      </c>
      <c r="B50" s="114">
        <v>44935</v>
      </c>
      <c r="C50" s="113" t="s">
        <v>179</v>
      </c>
      <c r="D50">
        <v>196.89</v>
      </c>
      <c r="E50">
        <v>22</v>
      </c>
      <c r="K50" s="2"/>
      <c r="L50" s="15">
        <f t="shared" si="4"/>
        <v>44935</v>
      </c>
      <c r="N50" s="185">
        <f t="shared" si="5"/>
        <v>44943</v>
      </c>
      <c r="O50" s="114">
        <v>44943</v>
      </c>
      <c r="P50" s="10">
        <f t="shared" si="0"/>
        <v>-8</v>
      </c>
      <c r="Q50" s="10">
        <f t="shared" si="1"/>
        <v>0</v>
      </c>
      <c r="R50" s="10">
        <f t="shared" si="2"/>
        <v>-8</v>
      </c>
      <c r="S50" s="10">
        <f t="shared" si="3"/>
        <v>-38</v>
      </c>
    </row>
    <row r="51" spans="1:19" ht="12.75" x14ac:dyDescent="0.2">
      <c r="A51" s="113" t="s">
        <v>180</v>
      </c>
      <c r="B51" s="114">
        <v>44937</v>
      </c>
      <c r="C51" s="113" t="s">
        <v>181</v>
      </c>
      <c r="D51">
        <v>77.42</v>
      </c>
      <c r="E51">
        <v>22</v>
      </c>
      <c r="K51" s="2"/>
      <c r="L51" s="15">
        <f t="shared" si="4"/>
        <v>44937</v>
      </c>
      <c r="N51" s="185">
        <f t="shared" si="5"/>
        <v>44945</v>
      </c>
      <c r="O51" s="114">
        <v>44945</v>
      </c>
      <c r="P51" s="10">
        <f t="shared" si="0"/>
        <v>-8</v>
      </c>
      <c r="Q51" s="10">
        <f t="shared" si="1"/>
        <v>0</v>
      </c>
      <c r="R51" s="10">
        <f t="shared" si="2"/>
        <v>-8</v>
      </c>
      <c r="S51" s="10">
        <f t="shared" si="3"/>
        <v>-38</v>
      </c>
    </row>
    <row r="52" spans="1:19" ht="12.75" x14ac:dyDescent="0.2">
      <c r="A52" s="113" t="s">
        <v>182</v>
      </c>
      <c r="B52" s="114">
        <v>44951</v>
      </c>
      <c r="C52" s="113" t="s">
        <v>183</v>
      </c>
      <c r="D52">
        <v>47.43</v>
      </c>
      <c r="E52">
        <v>22</v>
      </c>
      <c r="K52" s="2"/>
      <c r="L52" s="15">
        <f t="shared" si="4"/>
        <v>44951</v>
      </c>
      <c r="N52" s="185">
        <f t="shared" si="5"/>
        <v>44956</v>
      </c>
      <c r="O52" s="114">
        <v>44956</v>
      </c>
      <c r="P52" s="10">
        <f t="shared" si="0"/>
        <v>-5</v>
      </c>
      <c r="Q52" s="10">
        <f t="shared" si="1"/>
        <v>0</v>
      </c>
      <c r="R52" s="10">
        <f t="shared" si="2"/>
        <v>-5</v>
      </c>
      <c r="S52" s="10">
        <f t="shared" si="3"/>
        <v>-35</v>
      </c>
    </row>
    <row r="53" spans="1:19" ht="12.75" x14ac:dyDescent="0.2">
      <c r="A53" s="113" t="s">
        <v>184</v>
      </c>
      <c r="B53" s="114">
        <v>44959</v>
      </c>
      <c r="C53" s="113" t="s">
        <v>185</v>
      </c>
      <c r="D53">
        <v>0.73</v>
      </c>
      <c r="E53">
        <v>22</v>
      </c>
      <c r="K53" s="2"/>
      <c r="L53" s="15">
        <f t="shared" si="4"/>
        <v>44959</v>
      </c>
      <c r="N53" s="185">
        <f t="shared" si="5"/>
        <v>44977</v>
      </c>
      <c r="O53" s="114">
        <v>44977</v>
      </c>
      <c r="P53" s="10">
        <f t="shared" si="0"/>
        <v>-18</v>
      </c>
      <c r="Q53" s="10">
        <f t="shared" si="1"/>
        <v>0</v>
      </c>
      <c r="R53" s="10">
        <f t="shared" si="2"/>
        <v>-18</v>
      </c>
      <c r="S53" s="10">
        <f t="shared" si="3"/>
        <v>-48</v>
      </c>
    </row>
    <row r="54" spans="1:19" ht="12.75" x14ac:dyDescent="0.2">
      <c r="A54" s="113" t="s">
        <v>186</v>
      </c>
      <c r="B54" s="114">
        <v>44959</v>
      </c>
      <c r="C54" s="113" t="s">
        <v>187</v>
      </c>
      <c r="D54">
        <v>10.33</v>
      </c>
      <c r="E54">
        <v>22</v>
      </c>
      <c r="K54" s="2"/>
      <c r="L54" s="15">
        <f t="shared" si="4"/>
        <v>44959</v>
      </c>
      <c r="N54" s="185">
        <f t="shared" si="5"/>
        <v>44977</v>
      </c>
      <c r="O54" s="114">
        <v>44977</v>
      </c>
      <c r="P54" s="10">
        <f t="shared" si="0"/>
        <v>-18</v>
      </c>
      <c r="Q54" s="10">
        <f t="shared" si="1"/>
        <v>0</v>
      </c>
      <c r="R54" s="10">
        <f t="shared" si="2"/>
        <v>-18</v>
      </c>
      <c r="S54" s="10">
        <f t="shared" si="3"/>
        <v>-48</v>
      </c>
    </row>
    <row r="55" spans="1:19" ht="12.75" x14ac:dyDescent="0.2">
      <c r="A55" s="113" t="s">
        <v>188</v>
      </c>
      <c r="B55" s="114">
        <v>44952</v>
      </c>
      <c r="C55" s="113" t="s">
        <v>189</v>
      </c>
      <c r="D55">
        <v>15.95</v>
      </c>
      <c r="E55">
        <v>22</v>
      </c>
      <c r="K55" s="2"/>
      <c r="L55" s="15">
        <f t="shared" si="4"/>
        <v>44952</v>
      </c>
      <c r="N55" s="185">
        <f t="shared" si="5"/>
        <v>44959</v>
      </c>
      <c r="O55" s="114">
        <v>44959</v>
      </c>
      <c r="P55" s="10">
        <f t="shared" si="0"/>
        <v>-7</v>
      </c>
      <c r="Q55" s="10">
        <f t="shared" si="1"/>
        <v>0</v>
      </c>
      <c r="R55" s="10">
        <f t="shared" si="2"/>
        <v>-7</v>
      </c>
      <c r="S55" s="10">
        <f t="shared" si="3"/>
        <v>-37</v>
      </c>
    </row>
    <row r="56" spans="1:19" ht="12.75" x14ac:dyDescent="0.2">
      <c r="A56" s="113" t="s">
        <v>190</v>
      </c>
      <c r="B56" s="114">
        <v>44945</v>
      </c>
      <c r="C56" s="113" t="s">
        <v>191</v>
      </c>
      <c r="D56">
        <v>10.56</v>
      </c>
      <c r="E56">
        <v>22</v>
      </c>
      <c r="K56" s="2"/>
      <c r="L56" s="15">
        <f t="shared" si="4"/>
        <v>44945</v>
      </c>
      <c r="N56" s="185">
        <f t="shared" si="5"/>
        <v>44959</v>
      </c>
      <c r="O56" s="114">
        <v>44959</v>
      </c>
      <c r="P56" s="10">
        <f t="shared" si="0"/>
        <v>-14</v>
      </c>
      <c r="Q56" s="10">
        <f t="shared" si="1"/>
        <v>0</v>
      </c>
      <c r="R56" s="10">
        <f t="shared" si="2"/>
        <v>-14</v>
      </c>
      <c r="S56" s="10">
        <f t="shared" si="3"/>
        <v>-44</v>
      </c>
    </row>
    <row r="57" spans="1:19" ht="12.75" x14ac:dyDescent="0.2">
      <c r="A57" s="113" t="s">
        <v>192</v>
      </c>
      <c r="B57" s="114">
        <v>44971</v>
      </c>
      <c r="C57" s="113" t="s">
        <v>193</v>
      </c>
      <c r="D57">
        <v>170.28</v>
      </c>
      <c r="E57">
        <v>22</v>
      </c>
      <c r="K57" s="2"/>
      <c r="L57" s="15">
        <f t="shared" si="4"/>
        <v>44971</v>
      </c>
      <c r="N57" s="185">
        <f t="shared" si="5"/>
        <v>44979</v>
      </c>
      <c r="O57" s="114">
        <v>44979</v>
      </c>
      <c r="P57" s="10">
        <f t="shared" si="0"/>
        <v>-8</v>
      </c>
      <c r="Q57" s="10">
        <f t="shared" si="1"/>
        <v>0</v>
      </c>
      <c r="R57" s="10">
        <f t="shared" si="2"/>
        <v>-8</v>
      </c>
      <c r="S57" s="10">
        <f t="shared" si="3"/>
        <v>-38</v>
      </c>
    </row>
    <row r="58" spans="1:19" ht="12.75" x14ac:dyDescent="0.2">
      <c r="A58" s="113" t="s">
        <v>194</v>
      </c>
      <c r="B58" s="114">
        <v>44966</v>
      </c>
      <c r="C58" s="113" t="s">
        <v>195</v>
      </c>
      <c r="D58">
        <v>21.36</v>
      </c>
      <c r="E58">
        <v>22</v>
      </c>
      <c r="K58" s="2"/>
      <c r="L58" s="15">
        <f t="shared" si="4"/>
        <v>44966</v>
      </c>
      <c r="N58" s="185">
        <f t="shared" si="5"/>
        <v>44977</v>
      </c>
      <c r="O58" s="114">
        <v>44977</v>
      </c>
      <c r="P58" s="10">
        <f t="shared" si="0"/>
        <v>-11</v>
      </c>
      <c r="Q58" s="10">
        <f t="shared" si="1"/>
        <v>0</v>
      </c>
      <c r="R58" s="10">
        <f t="shared" si="2"/>
        <v>-11</v>
      </c>
      <c r="S58" s="10">
        <f t="shared" si="3"/>
        <v>-41</v>
      </c>
    </row>
    <row r="59" spans="1:19" ht="12.75" x14ac:dyDescent="0.2">
      <c r="A59" s="113" t="s">
        <v>196</v>
      </c>
      <c r="B59" s="114">
        <v>44966</v>
      </c>
      <c r="C59" s="113" t="s">
        <v>197</v>
      </c>
      <c r="D59">
        <v>2.1</v>
      </c>
      <c r="E59">
        <v>22</v>
      </c>
      <c r="K59" s="2"/>
      <c r="L59" s="15">
        <f t="shared" si="4"/>
        <v>44966</v>
      </c>
      <c r="N59" s="185">
        <f t="shared" si="5"/>
        <v>44977</v>
      </c>
      <c r="O59" s="114">
        <v>44977</v>
      </c>
      <c r="P59" s="10">
        <f t="shared" si="0"/>
        <v>-11</v>
      </c>
      <c r="Q59" s="10">
        <f t="shared" si="1"/>
        <v>0</v>
      </c>
      <c r="R59" s="10">
        <f t="shared" si="2"/>
        <v>-11</v>
      </c>
      <c r="S59" s="10">
        <f t="shared" si="3"/>
        <v>-41</v>
      </c>
    </row>
    <row r="60" spans="1:19" ht="12.75" x14ac:dyDescent="0.2">
      <c r="A60" s="113" t="s">
        <v>198</v>
      </c>
      <c r="B60" s="114">
        <v>44973</v>
      </c>
      <c r="C60" s="113" t="s">
        <v>199</v>
      </c>
      <c r="D60">
        <v>14.6</v>
      </c>
      <c r="E60">
        <v>22</v>
      </c>
      <c r="K60" s="2"/>
      <c r="L60" s="15">
        <f t="shared" si="4"/>
        <v>44973</v>
      </c>
      <c r="N60" s="185">
        <f t="shared" si="5"/>
        <v>44988</v>
      </c>
      <c r="O60" s="114">
        <v>44988</v>
      </c>
      <c r="P60" s="10">
        <f t="shared" si="0"/>
        <v>-15</v>
      </c>
      <c r="Q60" s="10">
        <f t="shared" si="1"/>
        <v>0</v>
      </c>
      <c r="R60" s="10">
        <f t="shared" si="2"/>
        <v>-15</v>
      </c>
      <c r="S60" s="10">
        <f t="shared" si="3"/>
        <v>-45</v>
      </c>
    </row>
    <row r="61" spans="1:19" ht="12.75" x14ac:dyDescent="0.2">
      <c r="A61" s="113" t="s">
        <v>200</v>
      </c>
      <c r="B61" s="114">
        <v>44973</v>
      </c>
      <c r="C61" s="113" t="s">
        <v>201</v>
      </c>
      <c r="D61">
        <v>7.82</v>
      </c>
      <c r="E61">
        <v>22</v>
      </c>
      <c r="K61" s="2"/>
      <c r="L61" s="15">
        <f t="shared" si="4"/>
        <v>44973</v>
      </c>
      <c r="N61" s="185">
        <f t="shared" si="5"/>
        <v>44984</v>
      </c>
      <c r="O61" s="114">
        <v>44984</v>
      </c>
      <c r="P61" s="10">
        <f t="shared" si="0"/>
        <v>-11</v>
      </c>
      <c r="Q61" s="10">
        <f t="shared" si="1"/>
        <v>0</v>
      </c>
      <c r="R61" s="10">
        <f t="shared" si="2"/>
        <v>-11</v>
      </c>
      <c r="S61" s="10">
        <f t="shared" si="3"/>
        <v>-41</v>
      </c>
    </row>
    <row r="62" spans="1:19" ht="12.75" x14ac:dyDescent="0.2">
      <c r="A62" s="113" t="s">
        <v>202</v>
      </c>
      <c r="B62" s="114">
        <v>44980</v>
      </c>
      <c r="C62" s="113" t="s">
        <v>203</v>
      </c>
      <c r="D62">
        <v>2.86</v>
      </c>
      <c r="E62">
        <v>22</v>
      </c>
      <c r="K62" s="2"/>
      <c r="L62" s="15">
        <f t="shared" si="4"/>
        <v>44980</v>
      </c>
      <c r="N62" s="185">
        <f t="shared" si="5"/>
        <v>44988</v>
      </c>
      <c r="O62" s="114">
        <v>44988</v>
      </c>
      <c r="P62" s="10">
        <f t="shared" si="0"/>
        <v>-8</v>
      </c>
      <c r="Q62" s="10">
        <f t="shared" si="1"/>
        <v>0</v>
      </c>
      <c r="R62" s="10">
        <f t="shared" si="2"/>
        <v>-8</v>
      </c>
      <c r="S62" s="10">
        <f t="shared" si="3"/>
        <v>-38</v>
      </c>
    </row>
    <row r="63" spans="1:19" ht="12.75" x14ac:dyDescent="0.2">
      <c r="A63" s="113" t="s">
        <v>204</v>
      </c>
      <c r="B63" s="114">
        <v>44980</v>
      </c>
      <c r="C63" s="113" t="s">
        <v>205</v>
      </c>
      <c r="D63">
        <v>10.47</v>
      </c>
      <c r="E63">
        <v>22</v>
      </c>
      <c r="K63" s="2"/>
      <c r="L63" s="15">
        <f t="shared" si="4"/>
        <v>44980</v>
      </c>
      <c r="N63" s="185">
        <f t="shared" si="5"/>
        <v>44988</v>
      </c>
      <c r="O63" s="114">
        <v>44988</v>
      </c>
      <c r="P63" s="10">
        <f t="shared" si="0"/>
        <v>-8</v>
      </c>
      <c r="Q63" s="10">
        <f t="shared" si="1"/>
        <v>0</v>
      </c>
      <c r="R63" s="10">
        <f t="shared" si="2"/>
        <v>-8</v>
      </c>
      <c r="S63" s="10">
        <f t="shared" si="3"/>
        <v>-38</v>
      </c>
    </row>
    <row r="64" spans="1:19" ht="12.75" x14ac:dyDescent="0.2">
      <c r="A64" s="113" t="s">
        <v>206</v>
      </c>
      <c r="B64" s="114">
        <v>44981</v>
      </c>
      <c r="C64" s="113" t="s">
        <v>207</v>
      </c>
      <c r="D64">
        <v>799.14</v>
      </c>
      <c r="E64">
        <v>22</v>
      </c>
      <c r="K64" s="2"/>
      <c r="L64" s="15">
        <f t="shared" si="4"/>
        <v>44981</v>
      </c>
      <c r="N64" s="185">
        <f t="shared" si="5"/>
        <v>45012</v>
      </c>
      <c r="O64" s="114">
        <v>45012</v>
      </c>
      <c r="P64" s="10">
        <f t="shared" si="0"/>
        <v>-31</v>
      </c>
      <c r="Q64" s="10">
        <f t="shared" si="1"/>
        <v>0</v>
      </c>
      <c r="R64" s="10">
        <f t="shared" si="2"/>
        <v>-31</v>
      </c>
      <c r="S64" s="10">
        <f t="shared" si="3"/>
        <v>-61</v>
      </c>
    </row>
    <row r="65" spans="1:19" ht="12.75" x14ac:dyDescent="0.2">
      <c r="A65" s="113" t="s">
        <v>208</v>
      </c>
      <c r="B65" s="114">
        <v>44967</v>
      </c>
      <c r="C65" s="113" t="s">
        <v>209</v>
      </c>
      <c r="D65">
        <v>553.26</v>
      </c>
      <c r="E65">
        <v>22</v>
      </c>
      <c r="K65" s="2"/>
      <c r="L65" s="15">
        <f t="shared" si="4"/>
        <v>44967</v>
      </c>
      <c r="N65" s="185">
        <f t="shared" si="5"/>
        <v>44998</v>
      </c>
      <c r="O65" s="114">
        <v>44998</v>
      </c>
      <c r="P65" s="10">
        <f t="shared" si="0"/>
        <v>-31</v>
      </c>
      <c r="Q65" s="10">
        <f t="shared" si="1"/>
        <v>0</v>
      </c>
      <c r="R65" s="10">
        <f t="shared" si="2"/>
        <v>-31</v>
      </c>
      <c r="S65" s="10">
        <f t="shared" si="3"/>
        <v>-61</v>
      </c>
    </row>
    <row r="66" spans="1:19" ht="12.75" x14ac:dyDescent="0.2">
      <c r="A66" s="113" t="s">
        <v>210</v>
      </c>
      <c r="B66" s="114">
        <v>44985</v>
      </c>
      <c r="C66" s="113" t="s">
        <v>211</v>
      </c>
      <c r="D66">
        <v>435.6</v>
      </c>
      <c r="E66">
        <v>22</v>
      </c>
      <c r="K66" s="2"/>
      <c r="L66" s="15">
        <f t="shared" si="4"/>
        <v>44985</v>
      </c>
      <c r="N66" s="185">
        <f t="shared" si="5"/>
        <v>45000</v>
      </c>
      <c r="O66" s="114">
        <v>45000</v>
      </c>
      <c r="P66" s="10">
        <f t="shared" si="0"/>
        <v>-15</v>
      </c>
      <c r="Q66" s="10">
        <f t="shared" si="1"/>
        <v>0</v>
      </c>
      <c r="R66" s="10">
        <f t="shared" si="2"/>
        <v>-15</v>
      </c>
      <c r="S66" s="10">
        <f t="shared" si="3"/>
        <v>-45</v>
      </c>
    </row>
    <row r="67" spans="1:19" ht="12.75" x14ac:dyDescent="0.2">
      <c r="A67" s="113" t="s">
        <v>212</v>
      </c>
      <c r="B67" s="114">
        <v>44936</v>
      </c>
      <c r="C67" s="113" t="s">
        <v>213</v>
      </c>
      <c r="D67">
        <v>35</v>
      </c>
      <c r="E67">
        <v>22</v>
      </c>
      <c r="K67" s="2"/>
      <c r="L67" s="15">
        <f t="shared" si="4"/>
        <v>44936</v>
      </c>
      <c r="N67" s="185">
        <f t="shared" si="5"/>
        <v>44958</v>
      </c>
      <c r="O67" s="114">
        <v>44958</v>
      </c>
      <c r="P67" s="10">
        <f t="shared" si="0"/>
        <v>-22</v>
      </c>
      <c r="Q67" s="10">
        <f t="shared" si="1"/>
        <v>0</v>
      </c>
      <c r="R67" s="10">
        <f t="shared" si="2"/>
        <v>-22</v>
      </c>
      <c r="S67" s="10">
        <f t="shared" si="3"/>
        <v>-52</v>
      </c>
    </row>
    <row r="68" spans="1:19" ht="12.75" x14ac:dyDescent="0.2">
      <c r="A68" s="113" t="s">
        <v>214</v>
      </c>
      <c r="B68" s="114">
        <v>44985</v>
      </c>
      <c r="C68" s="113" t="s">
        <v>215</v>
      </c>
      <c r="D68">
        <v>134.81</v>
      </c>
      <c r="E68">
        <v>22</v>
      </c>
      <c r="K68" s="2"/>
      <c r="L68" s="15">
        <f t="shared" si="4"/>
        <v>44985</v>
      </c>
      <c r="N68" s="185">
        <f t="shared" si="5"/>
        <v>45016</v>
      </c>
      <c r="O68" s="114">
        <v>45016</v>
      </c>
      <c r="P68" s="10">
        <f t="shared" si="0"/>
        <v>-31</v>
      </c>
      <c r="Q68" s="10">
        <f t="shared" si="1"/>
        <v>0</v>
      </c>
      <c r="R68" s="10">
        <f t="shared" si="2"/>
        <v>-31</v>
      </c>
      <c r="S68" s="10">
        <f t="shared" si="3"/>
        <v>-61</v>
      </c>
    </row>
    <row r="69" spans="1:19" ht="12.75" x14ac:dyDescent="0.2">
      <c r="A69" s="113" t="s">
        <v>216</v>
      </c>
      <c r="B69" s="114">
        <v>44985</v>
      </c>
      <c r="C69" s="113" t="s">
        <v>217</v>
      </c>
      <c r="D69">
        <v>166.91</v>
      </c>
      <c r="E69">
        <v>22</v>
      </c>
      <c r="K69" s="2"/>
      <c r="L69" s="15">
        <f t="shared" si="4"/>
        <v>44985</v>
      </c>
      <c r="N69" s="185">
        <f t="shared" si="5"/>
        <v>45012</v>
      </c>
      <c r="O69" s="114">
        <v>45012</v>
      </c>
      <c r="P69" s="10">
        <f t="shared" si="0"/>
        <v>-27</v>
      </c>
      <c r="Q69" s="10">
        <f t="shared" si="1"/>
        <v>0</v>
      </c>
      <c r="R69" s="10">
        <f t="shared" si="2"/>
        <v>-27</v>
      </c>
      <c r="S69" s="10">
        <f t="shared" si="3"/>
        <v>-57</v>
      </c>
    </row>
    <row r="70" spans="1:19" ht="12.75" x14ac:dyDescent="0.2">
      <c r="A70" s="113" t="s">
        <v>218</v>
      </c>
      <c r="B70" s="114">
        <v>44987</v>
      </c>
      <c r="C70" s="113" t="s">
        <v>219</v>
      </c>
      <c r="D70">
        <v>13.58</v>
      </c>
      <c r="E70">
        <v>22</v>
      </c>
      <c r="K70" s="2"/>
      <c r="L70" s="15">
        <f t="shared" si="4"/>
        <v>44987</v>
      </c>
      <c r="N70" s="185">
        <f t="shared" si="5"/>
        <v>45002</v>
      </c>
      <c r="O70" s="114">
        <v>45002</v>
      </c>
      <c r="P70" s="10">
        <f t="shared" si="0"/>
        <v>-15</v>
      </c>
      <c r="Q70" s="10">
        <f t="shared" si="1"/>
        <v>0</v>
      </c>
      <c r="R70" s="10">
        <f t="shared" si="2"/>
        <v>-15</v>
      </c>
      <c r="S70" s="10">
        <f t="shared" si="3"/>
        <v>-45</v>
      </c>
    </row>
    <row r="71" spans="1:19" ht="12.75" x14ac:dyDescent="0.2">
      <c r="A71" s="113" t="s">
        <v>220</v>
      </c>
      <c r="B71" s="114">
        <v>44927</v>
      </c>
      <c r="C71" s="113" t="s">
        <v>221</v>
      </c>
      <c r="D71">
        <v>614.32000000000005</v>
      </c>
      <c r="E71">
        <v>22</v>
      </c>
      <c r="K71" s="2"/>
      <c r="L71" s="15">
        <f t="shared" si="4"/>
        <v>44927</v>
      </c>
      <c r="N71" s="185">
        <f t="shared" si="5"/>
        <v>44970</v>
      </c>
      <c r="O71" s="114">
        <v>44970</v>
      </c>
      <c r="P71" s="10">
        <f t="shared" ref="P71:P134" si="6">+L71-N71</f>
        <v>-43</v>
      </c>
      <c r="Q71" s="10">
        <f t="shared" ref="Q71:Q134" si="7">+N71-O71</f>
        <v>0</v>
      </c>
      <c r="R71" s="10">
        <f t="shared" ref="R71:R134" si="8">+L71-O71</f>
        <v>-43</v>
      </c>
      <c r="S71" s="10">
        <f t="shared" ref="S71:S134" si="9">+R71-30</f>
        <v>-73</v>
      </c>
    </row>
    <row r="72" spans="1:19" ht="12.75" x14ac:dyDescent="0.2">
      <c r="A72" s="113" t="s">
        <v>222</v>
      </c>
      <c r="B72" s="114">
        <v>44927</v>
      </c>
      <c r="C72" s="113" t="s">
        <v>223</v>
      </c>
      <c r="D72">
        <v>59.75</v>
      </c>
      <c r="E72">
        <v>22</v>
      </c>
      <c r="K72" s="2"/>
      <c r="L72" s="15">
        <f t="shared" ref="L72:L135" si="10">+B72</f>
        <v>44927</v>
      </c>
      <c r="N72" s="185">
        <f t="shared" ref="N72:N135" si="11">+O72</f>
        <v>44970</v>
      </c>
      <c r="O72" s="114">
        <v>44970</v>
      </c>
      <c r="P72" s="10">
        <f t="shared" si="6"/>
        <v>-43</v>
      </c>
      <c r="Q72" s="10">
        <f t="shared" si="7"/>
        <v>0</v>
      </c>
      <c r="R72" s="10">
        <f t="shared" si="8"/>
        <v>-43</v>
      </c>
      <c r="S72" s="10">
        <f t="shared" si="9"/>
        <v>-73</v>
      </c>
    </row>
    <row r="73" spans="1:19" ht="12.75" x14ac:dyDescent="0.2">
      <c r="A73" s="113" t="s">
        <v>224</v>
      </c>
      <c r="B73" s="114">
        <v>44993</v>
      </c>
      <c r="C73" s="113" t="s">
        <v>225</v>
      </c>
      <c r="D73">
        <v>123.61</v>
      </c>
      <c r="E73">
        <v>22</v>
      </c>
      <c r="K73" s="2"/>
      <c r="L73" s="15">
        <f t="shared" si="10"/>
        <v>44993</v>
      </c>
      <c r="N73" s="185">
        <f t="shared" si="11"/>
        <v>45000</v>
      </c>
      <c r="O73" s="114">
        <v>45000</v>
      </c>
      <c r="P73" s="10">
        <f t="shared" si="6"/>
        <v>-7</v>
      </c>
      <c r="Q73" s="10">
        <f t="shared" si="7"/>
        <v>0</v>
      </c>
      <c r="R73" s="10">
        <f t="shared" si="8"/>
        <v>-7</v>
      </c>
      <c r="S73" s="10">
        <f t="shared" si="9"/>
        <v>-37</v>
      </c>
    </row>
    <row r="74" spans="1:19" ht="12.75" x14ac:dyDescent="0.2">
      <c r="A74" s="113" t="s">
        <v>226</v>
      </c>
      <c r="B74" s="114">
        <v>44998</v>
      </c>
      <c r="C74" s="113" t="s">
        <v>227</v>
      </c>
      <c r="D74">
        <v>2974.8</v>
      </c>
      <c r="E74">
        <v>22</v>
      </c>
      <c r="K74" s="2"/>
      <c r="L74" s="15">
        <f t="shared" si="10"/>
        <v>44998</v>
      </c>
      <c r="N74" s="185">
        <f t="shared" si="11"/>
        <v>45015</v>
      </c>
      <c r="O74" s="114">
        <v>45015</v>
      </c>
      <c r="P74" s="10">
        <f t="shared" si="6"/>
        <v>-17</v>
      </c>
      <c r="Q74" s="10">
        <f t="shared" si="7"/>
        <v>0</v>
      </c>
      <c r="R74" s="10">
        <f t="shared" si="8"/>
        <v>-17</v>
      </c>
      <c r="S74" s="10">
        <f t="shared" si="9"/>
        <v>-47</v>
      </c>
    </row>
    <row r="75" spans="1:19" ht="12.75" x14ac:dyDescent="0.2">
      <c r="A75" s="113" t="s">
        <v>228</v>
      </c>
      <c r="B75" s="114">
        <v>44998</v>
      </c>
      <c r="C75" s="113" t="s">
        <v>229</v>
      </c>
      <c r="D75">
        <v>2974.8</v>
      </c>
      <c r="E75">
        <v>22</v>
      </c>
      <c r="K75" s="2"/>
      <c r="L75" s="15">
        <f t="shared" si="10"/>
        <v>44998</v>
      </c>
      <c r="N75" s="185">
        <f t="shared" si="11"/>
        <v>45015</v>
      </c>
      <c r="O75" s="114">
        <v>45015</v>
      </c>
      <c r="P75" s="10">
        <f t="shared" si="6"/>
        <v>-17</v>
      </c>
      <c r="Q75" s="10">
        <f t="shared" si="7"/>
        <v>0</v>
      </c>
      <c r="R75" s="10">
        <f t="shared" si="8"/>
        <v>-17</v>
      </c>
      <c r="S75" s="10">
        <f t="shared" si="9"/>
        <v>-47</v>
      </c>
    </row>
    <row r="76" spans="1:19" ht="12.75" x14ac:dyDescent="0.2">
      <c r="A76" s="113" t="s">
        <v>230</v>
      </c>
      <c r="B76" s="114">
        <v>44959</v>
      </c>
      <c r="C76" s="113" t="s">
        <v>231</v>
      </c>
      <c r="D76">
        <v>86.34</v>
      </c>
      <c r="E76">
        <v>29</v>
      </c>
      <c r="K76" s="2"/>
      <c r="L76" s="15">
        <f t="shared" si="10"/>
        <v>44959</v>
      </c>
      <c r="N76" s="185">
        <f t="shared" si="11"/>
        <v>44977</v>
      </c>
      <c r="O76" s="114">
        <v>44977</v>
      </c>
      <c r="P76" s="10">
        <f t="shared" si="6"/>
        <v>-18</v>
      </c>
      <c r="Q76" s="10">
        <f t="shared" si="7"/>
        <v>0</v>
      </c>
      <c r="R76" s="10">
        <f t="shared" si="8"/>
        <v>-18</v>
      </c>
      <c r="S76" s="10">
        <f t="shared" si="9"/>
        <v>-48</v>
      </c>
    </row>
    <row r="77" spans="1:19" ht="12.75" x14ac:dyDescent="0.2">
      <c r="A77" s="113" t="s">
        <v>232</v>
      </c>
      <c r="B77" s="114">
        <v>44951</v>
      </c>
      <c r="C77" s="113" t="s">
        <v>233</v>
      </c>
      <c r="D77">
        <v>17.420000000000002</v>
      </c>
      <c r="E77">
        <v>29</v>
      </c>
      <c r="K77" s="2"/>
      <c r="L77" s="15">
        <f t="shared" si="10"/>
        <v>44951</v>
      </c>
      <c r="N77" s="185">
        <f t="shared" si="11"/>
        <v>44960</v>
      </c>
      <c r="O77" s="114">
        <v>44960</v>
      </c>
      <c r="P77" s="10">
        <f t="shared" si="6"/>
        <v>-9</v>
      </c>
      <c r="Q77" s="10">
        <f t="shared" si="7"/>
        <v>0</v>
      </c>
      <c r="R77" s="10">
        <f t="shared" si="8"/>
        <v>-9</v>
      </c>
      <c r="S77" s="10">
        <f t="shared" si="9"/>
        <v>-39</v>
      </c>
    </row>
    <row r="78" spans="1:19" ht="12.75" x14ac:dyDescent="0.2">
      <c r="A78" s="113" t="s">
        <v>234</v>
      </c>
      <c r="B78" s="114">
        <v>44951</v>
      </c>
      <c r="C78" s="113" t="s">
        <v>235</v>
      </c>
      <c r="D78">
        <v>69</v>
      </c>
      <c r="E78">
        <v>29</v>
      </c>
      <c r="K78" s="2"/>
      <c r="L78" s="15">
        <f t="shared" si="10"/>
        <v>44951</v>
      </c>
      <c r="N78" s="185">
        <f t="shared" si="11"/>
        <v>44958</v>
      </c>
      <c r="O78" s="114">
        <v>44958</v>
      </c>
      <c r="P78" s="10">
        <f t="shared" si="6"/>
        <v>-7</v>
      </c>
      <c r="Q78" s="10">
        <f t="shared" si="7"/>
        <v>0</v>
      </c>
      <c r="R78" s="10">
        <f t="shared" si="8"/>
        <v>-7</v>
      </c>
      <c r="S78" s="10">
        <f t="shared" si="9"/>
        <v>-37</v>
      </c>
    </row>
    <row r="79" spans="1:19" ht="12.75" x14ac:dyDescent="0.2">
      <c r="A79" s="113" t="s">
        <v>236</v>
      </c>
      <c r="B79" s="114">
        <v>44951</v>
      </c>
      <c r="C79" s="113" t="s">
        <v>237</v>
      </c>
      <c r="D79">
        <v>69</v>
      </c>
      <c r="E79">
        <v>29</v>
      </c>
      <c r="K79" s="2"/>
      <c r="L79" s="15">
        <f t="shared" si="10"/>
        <v>44951</v>
      </c>
      <c r="N79" s="185">
        <f t="shared" si="11"/>
        <v>44958</v>
      </c>
      <c r="O79" s="114">
        <v>44958</v>
      </c>
      <c r="P79" s="10">
        <f t="shared" si="6"/>
        <v>-7</v>
      </c>
      <c r="Q79" s="10">
        <f t="shared" si="7"/>
        <v>0</v>
      </c>
      <c r="R79" s="10">
        <f t="shared" si="8"/>
        <v>-7</v>
      </c>
      <c r="S79" s="10">
        <f t="shared" si="9"/>
        <v>-37</v>
      </c>
    </row>
    <row r="80" spans="1:19" ht="12.75" x14ac:dyDescent="0.2">
      <c r="A80" s="113" t="s">
        <v>238</v>
      </c>
      <c r="B80" s="114">
        <v>44951</v>
      </c>
      <c r="C80" s="113" t="s">
        <v>239</v>
      </c>
      <c r="D80">
        <v>1409.65</v>
      </c>
      <c r="E80">
        <v>29</v>
      </c>
      <c r="K80" s="2"/>
      <c r="L80" s="15">
        <f t="shared" si="10"/>
        <v>44951</v>
      </c>
      <c r="N80" s="185">
        <f t="shared" si="11"/>
        <v>44956</v>
      </c>
      <c r="O80" s="114">
        <v>44956</v>
      </c>
      <c r="P80" s="10">
        <f t="shared" si="6"/>
        <v>-5</v>
      </c>
      <c r="Q80" s="10">
        <f t="shared" si="7"/>
        <v>0</v>
      </c>
      <c r="R80" s="10">
        <f t="shared" si="8"/>
        <v>-5</v>
      </c>
      <c r="S80" s="10">
        <f t="shared" si="9"/>
        <v>-35</v>
      </c>
    </row>
    <row r="81" spans="1:19" ht="12.75" x14ac:dyDescent="0.2">
      <c r="A81" s="113" t="s">
        <v>240</v>
      </c>
      <c r="B81" s="114">
        <v>44928</v>
      </c>
      <c r="C81" s="113" t="s">
        <v>241</v>
      </c>
      <c r="D81">
        <v>576</v>
      </c>
      <c r="E81">
        <v>29</v>
      </c>
      <c r="K81" s="2"/>
      <c r="L81" s="15">
        <f t="shared" si="10"/>
        <v>44928</v>
      </c>
      <c r="N81" s="185">
        <f t="shared" si="11"/>
        <v>44930</v>
      </c>
      <c r="O81" s="114">
        <v>44930</v>
      </c>
      <c r="P81" s="10">
        <f t="shared" si="6"/>
        <v>-2</v>
      </c>
      <c r="Q81" s="10">
        <f t="shared" si="7"/>
        <v>0</v>
      </c>
      <c r="R81" s="10">
        <f t="shared" si="8"/>
        <v>-2</v>
      </c>
      <c r="S81" s="10">
        <f t="shared" si="9"/>
        <v>-32</v>
      </c>
    </row>
    <row r="82" spans="1:19" ht="12.75" x14ac:dyDescent="0.2">
      <c r="A82" s="113" t="s">
        <v>242</v>
      </c>
      <c r="B82" s="114">
        <v>44929</v>
      </c>
      <c r="C82" s="113" t="s">
        <v>243</v>
      </c>
      <c r="D82">
        <v>20.13</v>
      </c>
      <c r="E82">
        <v>29</v>
      </c>
      <c r="K82" s="2"/>
      <c r="L82" s="15">
        <f t="shared" si="10"/>
        <v>44929</v>
      </c>
      <c r="N82" s="185">
        <f t="shared" si="11"/>
        <v>44932</v>
      </c>
      <c r="O82" s="114">
        <v>44932</v>
      </c>
      <c r="P82" s="10">
        <f t="shared" si="6"/>
        <v>-3</v>
      </c>
      <c r="Q82" s="10">
        <f t="shared" si="7"/>
        <v>0</v>
      </c>
      <c r="R82" s="10">
        <f t="shared" si="8"/>
        <v>-3</v>
      </c>
      <c r="S82" s="10">
        <f t="shared" si="9"/>
        <v>-33</v>
      </c>
    </row>
    <row r="83" spans="1:19" ht="12.75" x14ac:dyDescent="0.2">
      <c r="A83" s="113" t="s">
        <v>244</v>
      </c>
      <c r="B83" s="114">
        <v>44935</v>
      </c>
      <c r="C83" s="113" t="s">
        <v>245</v>
      </c>
      <c r="D83">
        <v>6.13</v>
      </c>
      <c r="E83">
        <v>29</v>
      </c>
      <c r="K83" s="2"/>
      <c r="L83" s="15">
        <f t="shared" si="10"/>
        <v>44935</v>
      </c>
      <c r="N83" s="185">
        <f t="shared" si="11"/>
        <v>44939</v>
      </c>
      <c r="O83" s="114">
        <v>44939</v>
      </c>
      <c r="P83" s="10">
        <f t="shared" si="6"/>
        <v>-4</v>
      </c>
      <c r="Q83" s="10">
        <f t="shared" si="7"/>
        <v>0</v>
      </c>
      <c r="R83" s="10">
        <f t="shared" si="8"/>
        <v>-4</v>
      </c>
      <c r="S83" s="10">
        <f t="shared" si="9"/>
        <v>-34</v>
      </c>
    </row>
    <row r="84" spans="1:19" ht="12.75" x14ac:dyDescent="0.2">
      <c r="A84" s="113" t="s">
        <v>246</v>
      </c>
      <c r="B84" s="114">
        <v>44936</v>
      </c>
      <c r="C84" s="113" t="s">
        <v>247</v>
      </c>
      <c r="D84">
        <v>2253.02</v>
      </c>
      <c r="E84">
        <v>29</v>
      </c>
      <c r="K84" s="2"/>
      <c r="L84" s="15">
        <f t="shared" si="10"/>
        <v>44936</v>
      </c>
      <c r="N84" s="185">
        <f t="shared" si="11"/>
        <v>44939</v>
      </c>
      <c r="O84" s="114">
        <v>44939</v>
      </c>
      <c r="P84" s="10">
        <f t="shared" si="6"/>
        <v>-3</v>
      </c>
      <c r="Q84" s="10">
        <f t="shared" si="7"/>
        <v>0</v>
      </c>
      <c r="R84" s="10">
        <f t="shared" si="8"/>
        <v>-3</v>
      </c>
      <c r="S84" s="10">
        <f t="shared" si="9"/>
        <v>-33</v>
      </c>
    </row>
    <row r="85" spans="1:19" ht="12.75" x14ac:dyDescent="0.2">
      <c r="A85" s="113" t="s">
        <v>248</v>
      </c>
      <c r="B85" s="114">
        <v>44938</v>
      </c>
      <c r="C85" s="113" t="s">
        <v>249</v>
      </c>
      <c r="D85">
        <v>465.85</v>
      </c>
      <c r="E85">
        <v>29</v>
      </c>
      <c r="K85" s="2"/>
      <c r="L85" s="15">
        <f t="shared" si="10"/>
        <v>44938</v>
      </c>
      <c r="N85" s="185">
        <f t="shared" si="11"/>
        <v>44939</v>
      </c>
      <c r="O85" s="114">
        <v>44939</v>
      </c>
      <c r="P85" s="10">
        <f t="shared" si="6"/>
        <v>-1</v>
      </c>
      <c r="Q85" s="10">
        <f t="shared" si="7"/>
        <v>0</v>
      </c>
      <c r="R85" s="10">
        <f t="shared" si="8"/>
        <v>-1</v>
      </c>
      <c r="S85" s="10">
        <f t="shared" si="9"/>
        <v>-31</v>
      </c>
    </row>
    <row r="86" spans="1:19" ht="12.75" x14ac:dyDescent="0.2">
      <c r="A86" s="113" t="s">
        <v>250</v>
      </c>
      <c r="B86" s="114">
        <v>44938</v>
      </c>
      <c r="C86" s="113" t="s">
        <v>251</v>
      </c>
      <c r="D86">
        <v>66.55</v>
      </c>
      <c r="E86">
        <v>29</v>
      </c>
      <c r="K86" s="2"/>
      <c r="L86" s="15">
        <f t="shared" si="10"/>
        <v>44938</v>
      </c>
      <c r="N86" s="185">
        <f t="shared" si="11"/>
        <v>44939</v>
      </c>
      <c r="O86" s="114">
        <v>44939</v>
      </c>
      <c r="P86" s="10">
        <f t="shared" si="6"/>
        <v>-1</v>
      </c>
      <c r="Q86" s="10">
        <f t="shared" si="7"/>
        <v>0</v>
      </c>
      <c r="R86" s="10">
        <f t="shared" si="8"/>
        <v>-1</v>
      </c>
      <c r="S86" s="10">
        <f t="shared" si="9"/>
        <v>-31</v>
      </c>
    </row>
    <row r="87" spans="1:19" ht="12.75" x14ac:dyDescent="0.2">
      <c r="A87" s="113" t="s">
        <v>252</v>
      </c>
      <c r="B87" s="114">
        <v>44936</v>
      </c>
      <c r="C87" s="113" t="s">
        <v>253</v>
      </c>
      <c r="D87">
        <v>31157.5</v>
      </c>
      <c r="E87">
        <v>29</v>
      </c>
      <c r="K87" s="2"/>
      <c r="L87" s="15">
        <f t="shared" si="10"/>
        <v>44936</v>
      </c>
      <c r="N87" s="185">
        <f t="shared" si="11"/>
        <v>44939</v>
      </c>
      <c r="O87" s="114">
        <v>44939</v>
      </c>
      <c r="P87" s="10">
        <f t="shared" si="6"/>
        <v>-3</v>
      </c>
      <c r="Q87" s="10">
        <f t="shared" si="7"/>
        <v>0</v>
      </c>
      <c r="R87" s="10">
        <f t="shared" si="8"/>
        <v>-3</v>
      </c>
      <c r="S87" s="10">
        <f t="shared" si="9"/>
        <v>-33</v>
      </c>
    </row>
    <row r="88" spans="1:19" ht="12.75" x14ac:dyDescent="0.2">
      <c r="A88" s="113" t="s">
        <v>254</v>
      </c>
      <c r="B88" s="114">
        <v>44935</v>
      </c>
      <c r="C88" s="113" t="s">
        <v>255</v>
      </c>
      <c r="D88">
        <v>1815</v>
      </c>
      <c r="E88">
        <v>29</v>
      </c>
      <c r="K88" s="2"/>
      <c r="L88" s="15">
        <f t="shared" si="10"/>
        <v>44935</v>
      </c>
      <c r="N88" s="185">
        <f t="shared" si="11"/>
        <v>44939</v>
      </c>
      <c r="O88" s="114">
        <v>44939</v>
      </c>
      <c r="P88" s="10">
        <f t="shared" si="6"/>
        <v>-4</v>
      </c>
      <c r="Q88" s="10">
        <f t="shared" si="7"/>
        <v>0</v>
      </c>
      <c r="R88" s="10">
        <f t="shared" si="8"/>
        <v>-4</v>
      </c>
      <c r="S88" s="10">
        <f t="shared" si="9"/>
        <v>-34</v>
      </c>
    </row>
    <row r="89" spans="1:19" ht="12.75" x14ac:dyDescent="0.2">
      <c r="A89" s="113" t="s">
        <v>256</v>
      </c>
      <c r="B89" s="114">
        <v>44941</v>
      </c>
      <c r="C89" s="113" t="s">
        <v>257</v>
      </c>
      <c r="D89">
        <v>226.5</v>
      </c>
      <c r="E89">
        <v>29</v>
      </c>
      <c r="K89" s="2"/>
      <c r="L89" s="15">
        <f t="shared" si="10"/>
        <v>44941</v>
      </c>
      <c r="N89" s="185">
        <f t="shared" si="11"/>
        <v>44982</v>
      </c>
      <c r="O89" s="114">
        <v>44982</v>
      </c>
      <c r="P89" s="10">
        <f t="shared" si="6"/>
        <v>-41</v>
      </c>
      <c r="Q89" s="10">
        <f t="shared" si="7"/>
        <v>0</v>
      </c>
      <c r="R89" s="10">
        <f t="shared" si="8"/>
        <v>-41</v>
      </c>
      <c r="S89" s="10">
        <f t="shared" si="9"/>
        <v>-71</v>
      </c>
    </row>
    <row r="90" spans="1:19" ht="12.75" x14ac:dyDescent="0.2">
      <c r="A90" s="113" t="s">
        <v>258</v>
      </c>
      <c r="B90" s="114">
        <v>44941</v>
      </c>
      <c r="C90" s="113" t="s">
        <v>259</v>
      </c>
      <c r="D90">
        <v>226.5</v>
      </c>
      <c r="E90">
        <v>29</v>
      </c>
      <c r="K90" s="2"/>
      <c r="L90" s="15">
        <f t="shared" si="10"/>
        <v>44941</v>
      </c>
      <c r="N90" s="185">
        <f t="shared" si="11"/>
        <v>44982</v>
      </c>
      <c r="O90" s="114">
        <v>44982</v>
      </c>
      <c r="P90" s="10">
        <f t="shared" si="6"/>
        <v>-41</v>
      </c>
      <c r="Q90" s="10">
        <f t="shared" si="7"/>
        <v>0</v>
      </c>
      <c r="R90" s="10">
        <f t="shared" si="8"/>
        <v>-41</v>
      </c>
      <c r="S90" s="10">
        <f t="shared" si="9"/>
        <v>-71</v>
      </c>
    </row>
    <row r="91" spans="1:19" ht="12.75" x14ac:dyDescent="0.2">
      <c r="A91" s="113" t="s">
        <v>260</v>
      </c>
      <c r="B91" s="114">
        <v>44957</v>
      </c>
      <c r="C91" s="113" t="s">
        <v>261</v>
      </c>
      <c r="D91">
        <v>387.2</v>
      </c>
      <c r="E91">
        <v>29</v>
      </c>
      <c r="K91" s="2"/>
      <c r="L91" s="15">
        <f t="shared" si="10"/>
        <v>44957</v>
      </c>
      <c r="N91" s="185">
        <f t="shared" si="11"/>
        <v>44977</v>
      </c>
      <c r="O91" s="114">
        <v>44977</v>
      </c>
      <c r="P91" s="10">
        <f t="shared" si="6"/>
        <v>-20</v>
      </c>
      <c r="Q91" s="10">
        <f t="shared" si="7"/>
        <v>0</v>
      </c>
      <c r="R91" s="10">
        <f t="shared" si="8"/>
        <v>-20</v>
      </c>
      <c r="S91" s="10">
        <f t="shared" si="9"/>
        <v>-50</v>
      </c>
    </row>
    <row r="92" spans="1:19" ht="12.75" x14ac:dyDescent="0.2">
      <c r="A92" s="113" t="s">
        <v>262</v>
      </c>
      <c r="B92" s="114">
        <v>44957</v>
      </c>
      <c r="C92" s="113" t="s">
        <v>263</v>
      </c>
      <c r="D92">
        <v>1108.17</v>
      </c>
      <c r="E92">
        <v>29</v>
      </c>
      <c r="K92" s="2"/>
      <c r="L92" s="15">
        <f t="shared" si="10"/>
        <v>44957</v>
      </c>
      <c r="N92" s="185">
        <f t="shared" si="11"/>
        <v>44958</v>
      </c>
      <c r="O92" s="114">
        <v>44958</v>
      </c>
      <c r="P92" s="10">
        <f t="shared" si="6"/>
        <v>-1</v>
      </c>
      <c r="Q92" s="10">
        <f t="shared" si="7"/>
        <v>0</v>
      </c>
      <c r="R92" s="10">
        <f t="shared" si="8"/>
        <v>-1</v>
      </c>
      <c r="S92" s="10">
        <f t="shared" si="9"/>
        <v>-31</v>
      </c>
    </row>
    <row r="93" spans="1:19" ht="12.75" x14ac:dyDescent="0.2">
      <c r="A93" s="113" t="s">
        <v>264</v>
      </c>
      <c r="B93" s="114">
        <v>44957</v>
      </c>
      <c r="C93" s="113" t="s">
        <v>265</v>
      </c>
      <c r="D93">
        <v>1464.06</v>
      </c>
      <c r="E93">
        <v>29</v>
      </c>
      <c r="K93" s="2"/>
      <c r="L93" s="15">
        <f t="shared" si="10"/>
        <v>44957</v>
      </c>
      <c r="N93" s="185">
        <f t="shared" si="11"/>
        <v>44958</v>
      </c>
      <c r="O93" s="114">
        <v>44958</v>
      </c>
      <c r="P93" s="10">
        <f t="shared" si="6"/>
        <v>-1</v>
      </c>
      <c r="Q93" s="10">
        <f t="shared" si="7"/>
        <v>0</v>
      </c>
      <c r="R93" s="10">
        <f t="shared" si="8"/>
        <v>-1</v>
      </c>
      <c r="S93" s="10">
        <f t="shared" si="9"/>
        <v>-31</v>
      </c>
    </row>
    <row r="94" spans="1:19" ht="12.75" x14ac:dyDescent="0.2">
      <c r="A94" s="113" t="s">
        <v>266</v>
      </c>
      <c r="B94" s="114">
        <v>44964</v>
      </c>
      <c r="C94" s="113" t="s">
        <v>267</v>
      </c>
      <c r="D94">
        <v>544.5</v>
      </c>
      <c r="E94">
        <v>29</v>
      </c>
      <c r="K94" s="2"/>
      <c r="L94" s="15">
        <f t="shared" si="10"/>
        <v>44964</v>
      </c>
      <c r="N94" s="185">
        <f t="shared" si="11"/>
        <v>44977</v>
      </c>
      <c r="O94" s="114">
        <v>44977</v>
      </c>
      <c r="P94" s="10">
        <f t="shared" si="6"/>
        <v>-13</v>
      </c>
      <c r="Q94" s="10">
        <f t="shared" si="7"/>
        <v>0</v>
      </c>
      <c r="R94" s="10">
        <f t="shared" si="8"/>
        <v>-13</v>
      </c>
      <c r="S94" s="10">
        <f t="shared" si="9"/>
        <v>-43</v>
      </c>
    </row>
    <row r="95" spans="1:19" ht="12.75" x14ac:dyDescent="0.2">
      <c r="A95" s="113" t="s">
        <v>268</v>
      </c>
      <c r="B95" s="114">
        <v>44927</v>
      </c>
      <c r="C95" s="113" t="s">
        <v>269</v>
      </c>
      <c r="D95">
        <v>350</v>
      </c>
      <c r="E95">
        <v>29</v>
      </c>
      <c r="K95" s="2"/>
      <c r="L95" s="15">
        <f t="shared" si="10"/>
        <v>44927</v>
      </c>
      <c r="N95" s="185">
        <f t="shared" si="11"/>
        <v>44977</v>
      </c>
      <c r="O95" s="114">
        <v>44977</v>
      </c>
      <c r="P95" s="10">
        <f t="shared" si="6"/>
        <v>-50</v>
      </c>
      <c r="Q95" s="10">
        <f t="shared" si="7"/>
        <v>0</v>
      </c>
      <c r="R95" s="10">
        <f t="shared" si="8"/>
        <v>-50</v>
      </c>
      <c r="S95" s="10">
        <f t="shared" si="9"/>
        <v>-80</v>
      </c>
    </row>
    <row r="96" spans="1:19" ht="12.75" x14ac:dyDescent="0.2">
      <c r="A96" s="113" t="s">
        <v>270</v>
      </c>
      <c r="B96" s="114">
        <v>44927</v>
      </c>
      <c r="C96" s="113" t="s">
        <v>271</v>
      </c>
      <c r="D96">
        <v>560</v>
      </c>
      <c r="E96">
        <v>29</v>
      </c>
      <c r="K96" s="2"/>
      <c r="L96" s="15">
        <f t="shared" si="10"/>
        <v>44927</v>
      </c>
      <c r="N96" s="185">
        <f t="shared" si="11"/>
        <v>44977</v>
      </c>
      <c r="O96" s="114">
        <v>44977</v>
      </c>
      <c r="P96" s="10">
        <f t="shared" si="6"/>
        <v>-50</v>
      </c>
      <c r="Q96" s="10">
        <f t="shared" si="7"/>
        <v>0</v>
      </c>
      <c r="R96" s="10">
        <f t="shared" si="8"/>
        <v>-50</v>
      </c>
      <c r="S96" s="10">
        <f t="shared" si="9"/>
        <v>-80</v>
      </c>
    </row>
    <row r="97" spans="1:19" ht="12.75" x14ac:dyDescent="0.2">
      <c r="A97" s="113" t="s">
        <v>272</v>
      </c>
      <c r="B97" s="114">
        <v>44927</v>
      </c>
      <c r="C97" s="113" t="s">
        <v>273</v>
      </c>
      <c r="D97">
        <v>420</v>
      </c>
      <c r="E97">
        <v>29</v>
      </c>
      <c r="K97" s="2"/>
      <c r="L97" s="15">
        <f t="shared" si="10"/>
        <v>44927</v>
      </c>
      <c r="N97" s="185">
        <f t="shared" si="11"/>
        <v>44977</v>
      </c>
      <c r="O97" s="114">
        <v>44977</v>
      </c>
      <c r="P97" s="10">
        <f t="shared" si="6"/>
        <v>-50</v>
      </c>
      <c r="Q97" s="10">
        <f t="shared" si="7"/>
        <v>0</v>
      </c>
      <c r="R97" s="10">
        <f t="shared" si="8"/>
        <v>-50</v>
      </c>
      <c r="S97" s="10">
        <f t="shared" si="9"/>
        <v>-80</v>
      </c>
    </row>
    <row r="98" spans="1:19" ht="12.75" x14ac:dyDescent="0.2">
      <c r="A98" s="113" t="s">
        <v>274</v>
      </c>
      <c r="B98" s="114">
        <v>44957</v>
      </c>
      <c r="C98" s="113" t="s">
        <v>275</v>
      </c>
      <c r="D98">
        <v>85</v>
      </c>
      <c r="E98">
        <v>29</v>
      </c>
      <c r="K98" s="2"/>
      <c r="L98" s="15">
        <f t="shared" si="10"/>
        <v>44957</v>
      </c>
      <c r="N98" s="185">
        <f t="shared" si="11"/>
        <v>44964</v>
      </c>
      <c r="O98" s="114">
        <v>44964</v>
      </c>
      <c r="P98" s="10">
        <f t="shared" si="6"/>
        <v>-7</v>
      </c>
      <c r="Q98" s="10">
        <f t="shared" si="7"/>
        <v>0</v>
      </c>
      <c r="R98" s="10">
        <f t="shared" si="8"/>
        <v>-7</v>
      </c>
      <c r="S98" s="10">
        <f t="shared" si="9"/>
        <v>-37</v>
      </c>
    </row>
    <row r="99" spans="1:19" ht="12.75" x14ac:dyDescent="0.2">
      <c r="A99" s="113" t="s">
        <v>276</v>
      </c>
      <c r="B99" s="114">
        <v>44957</v>
      </c>
      <c r="C99" s="113" t="s">
        <v>277</v>
      </c>
      <c r="D99">
        <v>85</v>
      </c>
      <c r="E99">
        <v>29</v>
      </c>
      <c r="K99" s="2"/>
      <c r="L99" s="15">
        <f t="shared" si="10"/>
        <v>44957</v>
      </c>
      <c r="N99" s="185">
        <f t="shared" si="11"/>
        <v>44964</v>
      </c>
      <c r="O99" s="114">
        <v>44964</v>
      </c>
      <c r="P99" s="10">
        <f t="shared" si="6"/>
        <v>-7</v>
      </c>
      <c r="Q99" s="10">
        <f t="shared" si="7"/>
        <v>0</v>
      </c>
      <c r="R99" s="10">
        <f t="shared" si="8"/>
        <v>-7</v>
      </c>
      <c r="S99" s="10">
        <f t="shared" si="9"/>
        <v>-37</v>
      </c>
    </row>
    <row r="100" spans="1:19" ht="12.75" x14ac:dyDescent="0.2">
      <c r="A100" s="113" t="s">
        <v>278</v>
      </c>
      <c r="B100" s="114">
        <v>44927</v>
      </c>
      <c r="C100" s="113" t="s">
        <v>279</v>
      </c>
      <c r="D100">
        <v>525</v>
      </c>
      <c r="E100">
        <v>29</v>
      </c>
      <c r="K100" s="2"/>
      <c r="L100" s="15">
        <f t="shared" si="10"/>
        <v>44927</v>
      </c>
      <c r="N100" s="185">
        <f t="shared" si="11"/>
        <v>44977</v>
      </c>
      <c r="O100" s="114">
        <v>44977</v>
      </c>
      <c r="P100" s="10">
        <f t="shared" si="6"/>
        <v>-50</v>
      </c>
      <c r="Q100" s="10">
        <f t="shared" si="7"/>
        <v>0</v>
      </c>
      <c r="R100" s="10">
        <f t="shared" si="8"/>
        <v>-50</v>
      </c>
      <c r="S100" s="10">
        <f t="shared" si="9"/>
        <v>-80</v>
      </c>
    </row>
    <row r="101" spans="1:19" ht="12.75" x14ac:dyDescent="0.2">
      <c r="A101" s="113" t="s">
        <v>280</v>
      </c>
      <c r="B101" s="114">
        <v>44927</v>
      </c>
      <c r="C101" s="113" t="s">
        <v>281</v>
      </c>
      <c r="D101">
        <v>210</v>
      </c>
      <c r="E101">
        <v>29</v>
      </c>
      <c r="K101" s="2"/>
      <c r="L101" s="15">
        <f t="shared" si="10"/>
        <v>44927</v>
      </c>
      <c r="N101" s="185">
        <f t="shared" si="11"/>
        <v>44977</v>
      </c>
      <c r="O101" s="114">
        <v>44977</v>
      </c>
      <c r="P101" s="10">
        <f t="shared" si="6"/>
        <v>-50</v>
      </c>
      <c r="Q101" s="10">
        <f t="shared" si="7"/>
        <v>0</v>
      </c>
      <c r="R101" s="10">
        <f t="shared" si="8"/>
        <v>-50</v>
      </c>
      <c r="S101" s="10">
        <f t="shared" si="9"/>
        <v>-80</v>
      </c>
    </row>
    <row r="102" spans="1:19" ht="12.75" x14ac:dyDescent="0.2">
      <c r="A102" s="113" t="s">
        <v>282</v>
      </c>
      <c r="B102" s="114">
        <v>44927</v>
      </c>
      <c r="C102" s="113" t="s">
        <v>283</v>
      </c>
      <c r="D102">
        <v>700</v>
      </c>
      <c r="E102">
        <v>29</v>
      </c>
      <c r="K102" s="2"/>
      <c r="L102" s="15">
        <f t="shared" si="10"/>
        <v>44927</v>
      </c>
      <c r="N102" s="185">
        <f t="shared" si="11"/>
        <v>44977</v>
      </c>
      <c r="O102" s="114">
        <v>44977</v>
      </c>
      <c r="P102" s="10">
        <f t="shared" si="6"/>
        <v>-50</v>
      </c>
      <c r="Q102" s="10">
        <f t="shared" si="7"/>
        <v>0</v>
      </c>
      <c r="R102" s="10">
        <f t="shared" si="8"/>
        <v>-50</v>
      </c>
      <c r="S102" s="10">
        <f t="shared" si="9"/>
        <v>-80</v>
      </c>
    </row>
    <row r="103" spans="1:19" ht="12.75" x14ac:dyDescent="0.2">
      <c r="A103" s="113" t="s">
        <v>284</v>
      </c>
      <c r="B103" s="114">
        <v>44927</v>
      </c>
      <c r="C103" s="113" t="s">
        <v>285</v>
      </c>
      <c r="D103">
        <v>525</v>
      </c>
      <c r="E103">
        <v>29</v>
      </c>
      <c r="K103" s="2"/>
      <c r="L103" s="15">
        <f t="shared" si="10"/>
        <v>44927</v>
      </c>
      <c r="N103" s="185">
        <f t="shared" si="11"/>
        <v>44977</v>
      </c>
      <c r="O103" s="114">
        <v>44977</v>
      </c>
      <c r="P103" s="10">
        <f t="shared" si="6"/>
        <v>-50</v>
      </c>
      <c r="Q103" s="10">
        <f t="shared" si="7"/>
        <v>0</v>
      </c>
      <c r="R103" s="10">
        <f t="shared" si="8"/>
        <v>-50</v>
      </c>
      <c r="S103" s="10">
        <f t="shared" si="9"/>
        <v>-80</v>
      </c>
    </row>
    <row r="104" spans="1:19" ht="12.75" x14ac:dyDescent="0.2">
      <c r="A104" s="113" t="s">
        <v>286</v>
      </c>
      <c r="B104" s="114">
        <v>44927</v>
      </c>
      <c r="C104" s="113" t="s">
        <v>287</v>
      </c>
      <c r="D104">
        <v>700</v>
      </c>
      <c r="E104">
        <v>29</v>
      </c>
      <c r="K104" s="2"/>
      <c r="L104" s="15">
        <f t="shared" si="10"/>
        <v>44927</v>
      </c>
      <c r="N104" s="185">
        <f t="shared" si="11"/>
        <v>44977</v>
      </c>
      <c r="O104" s="114">
        <v>44977</v>
      </c>
      <c r="P104" s="10">
        <f t="shared" si="6"/>
        <v>-50</v>
      </c>
      <c r="Q104" s="10">
        <f t="shared" si="7"/>
        <v>0</v>
      </c>
      <c r="R104" s="10">
        <f t="shared" si="8"/>
        <v>-50</v>
      </c>
      <c r="S104" s="10">
        <f t="shared" si="9"/>
        <v>-80</v>
      </c>
    </row>
    <row r="105" spans="1:19" ht="12.75" x14ac:dyDescent="0.2">
      <c r="A105" s="113" t="s">
        <v>288</v>
      </c>
      <c r="B105" s="114">
        <v>44927</v>
      </c>
      <c r="C105" s="113" t="s">
        <v>289</v>
      </c>
      <c r="D105">
        <v>35</v>
      </c>
      <c r="E105">
        <v>29</v>
      </c>
      <c r="K105" s="2"/>
      <c r="L105" s="15">
        <f t="shared" si="10"/>
        <v>44927</v>
      </c>
      <c r="N105" s="185">
        <f t="shared" si="11"/>
        <v>44977</v>
      </c>
      <c r="O105" s="114">
        <v>44977</v>
      </c>
      <c r="P105" s="10">
        <f t="shared" si="6"/>
        <v>-50</v>
      </c>
      <c r="Q105" s="10">
        <f t="shared" si="7"/>
        <v>0</v>
      </c>
      <c r="R105" s="10">
        <f t="shared" si="8"/>
        <v>-50</v>
      </c>
      <c r="S105" s="10">
        <f t="shared" si="9"/>
        <v>-80</v>
      </c>
    </row>
    <row r="106" spans="1:19" ht="12.75" x14ac:dyDescent="0.2">
      <c r="A106" s="113" t="s">
        <v>290</v>
      </c>
      <c r="B106" s="114">
        <v>44927</v>
      </c>
      <c r="C106" s="113" t="s">
        <v>291</v>
      </c>
      <c r="D106">
        <v>420</v>
      </c>
      <c r="E106">
        <v>29</v>
      </c>
      <c r="K106" s="2"/>
      <c r="L106" s="15">
        <f t="shared" si="10"/>
        <v>44927</v>
      </c>
      <c r="N106" s="185">
        <f t="shared" si="11"/>
        <v>44977</v>
      </c>
      <c r="O106" s="114">
        <v>44977</v>
      </c>
      <c r="P106" s="10">
        <f t="shared" si="6"/>
        <v>-50</v>
      </c>
      <c r="Q106" s="10">
        <f t="shared" si="7"/>
        <v>0</v>
      </c>
      <c r="R106" s="10">
        <f t="shared" si="8"/>
        <v>-50</v>
      </c>
      <c r="S106" s="10">
        <f t="shared" si="9"/>
        <v>-80</v>
      </c>
    </row>
    <row r="107" spans="1:19" ht="12.75" x14ac:dyDescent="0.2">
      <c r="A107" s="113" t="s">
        <v>292</v>
      </c>
      <c r="B107" s="114">
        <v>44927</v>
      </c>
      <c r="C107" s="113" t="s">
        <v>293</v>
      </c>
      <c r="D107">
        <v>525</v>
      </c>
      <c r="E107">
        <v>29</v>
      </c>
      <c r="K107" s="2"/>
      <c r="L107" s="15">
        <f t="shared" si="10"/>
        <v>44927</v>
      </c>
      <c r="N107" s="185">
        <f t="shared" si="11"/>
        <v>44977</v>
      </c>
      <c r="O107" s="114">
        <v>44977</v>
      </c>
      <c r="P107" s="10">
        <f t="shared" si="6"/>
        <v>-50</v>
      </c>
      <c r="Q107" s="10">
        <f t="shared" si="7"/>
        <v>0</v>
      </c>
      <c r="R107" s="10">
        <f t="shared" si="8"/>
        <v>-50</v>
      </c>
      <c r="S107" s="10">
        <f t="shared" si="9"/>
        <v>-80</v>
      </c>
    </row>
    <row r="108" spans="1:19" ht="12.75" x14ac:dyDescent="0.2">
      <c r="A108" s="113" t="s">
        <v>294</v>
      </c>
      <c r="B108" s="114">
        <v>44927</v>
      </c>
      <c r="C108" s="113" t="s">
        <v>295</v>
      </c>
      <c r="D108">
        <v>7.03</v>
      </c>
      <c r="E108">
        <v>29</v>
      </c>
      <c r="K108" s="2"/>
      <c r="L108" s="15">
        <f t="shared" si="10"/>
        <v>44927</v>
      </c>
      <c r="N108" s="185">
        <f t="shared" si="11"/>
        <v>44928</v>
      </c>
      <c r="O108" s="114">
        <v>44928</v>
      </c>
      <c r="P108" s="10">
        <f t="shared" si="6"/>
        <v>-1</v>
      </c>
      <c r="Q108" s="10">
        <f t="shared" si="7"/>
        <v>0</v>
      </c>
      <c r="R108" s="10">
        <f t="shared" si="8"/>
        <v>-1</v>
      </c>
      <c r="S108" s="10">
        <f t="shared" si="9"/>
        <v>-31</v>
      </c>
    </row>
    <row r="109" spans="1:19" ht="12.75" x14ac:dyDescent="0.2">
      <c r="A109" s="113" t="s">
        <v>296</v>
      </c>
      <c r="B109" s="114">
        <v>44927</v>
      </c>
      <c r="C109" s="113" t="s">
        <v>297</v>
      </c>
      <c r="D109">
        <v>136.13</v>
      </c>
      <c r="E109">
        <v>29</v>
      </c>
      <c r="K109" s="2"/>
      <c r="L109" s="15">
        <f t="shared" si="10"/>
        <v>44927</v>
      </c>
      <c r="N109" s="185">
        <f t="shared" si="11"/>
        <v>44927</v>
      </c>
      <c r="O109" s="114">
        <v>44927</v>
      </c>
      <c r="P109" s="10">
        <f t="shared" si="6"/>
        <v>0</v>
      </c>
      <c r="Q109" s="10">
        <f t="shared" si="7"/>
        <v>0</v>
      </c>
      <c r="R109" s="10">
        <f t="shared" si="8"/>
        <v>0</v>
      </c>
      <c r="S109" s="10">
        <f t="shared" si="9"/>
        <v>-30</v>
      </c>
    </row>
    <row r="110" spans="1:19" ht="12.75" x14ac:dyDescent="0.2">
      <c r="A110" s="113" t="s">
        <v>298</v>
      </c>
      <c r="B110" s="114">
        <v>44958</v>
      </c>
      <c r="C110" s="113" t="s">
        <v>299</v>
      </c>
      <c r="D110">
        <v>4.33</v>
      </c>
      <c r="E110">
        <v>29</v>
      </c>
      <c r="K110" s="2"/>
      <c r="L110" s="15">
        <f t="shared" si="10"/>
        <v>44958</v>
      </c>
      <c r="N110" s="185">
        <f t="shared" si="11"/>
        <v>44958</v>
      </c>
      <c r="O110" s="114">
        <v>44958</v>
      </c>
      <c r="P110" s="10">
        <f t="shared" si="6"/>
        <v>0</v>
      </c>
      <c r="Q110" s="10">
        <f t="shared" si="7"/>
        <v>0</v>
      </c>
      <c r="R110" s="10">
        <f t="shared" si="8"/>
        <v>0</v>
      </c>
      <c r="S110" s="10">
        <f t="shared" si="9"/>
        <v>-30</v>
      </c>
    </row>
    <row r="111" spans="1:19" ht="12.75" x14ac:dyDescent="0.2">
      <c r="A111" s="113" t="s">
        <v>300</v>
      </c>
      <c r="B111" s="114">
        <v>44958</v>
      </c>
      <c r="C111" s="113" t="s">
        <v>301</v>
      </c>
      <c r="D111">
        <v>136.79</v>
      </c>
      <c r="E111">
        <v>29</v>
      </c>
      <c r="K111" s="2"/>
      <c r="L111" s="15">
        <f t="shared" si="10"/>
        <v>44958</v>
      </c>
      <c r="N111" s="185">
        <f t="shared" si="11"/>
        <v>44958</v>
      </c>
      <c r="O111" s="114">
        <v>44958</v>
      </c>
      <c r="P111" s="10">
        <f t="shared" si="6"/>
        <v>0</v>
      </c>
      <c r="Q111" s="10">
        <f t="shared" si="7"/>
        <v>0</v>
      </c>
      <c r="R111" s="10">
        <f t="shared" si="8"/>
        <v>0</v>
      </c>
      <c r="S111" s="10">
        <f t="shared" si="9"/>
        <v>-30</v>
      </c>
    </row>
    <row r="112" spans="1:19" ht="12.75" x14ac:dyDescent="0.2">
      <c r="A112" s="113" t="s">
        <v>302</v>
      </c>
      <c r="B112" s="114">
        <v>44946</v>
      </c>
      <c r="C112" s="113" t="s">
        <v>303</v>
      </c>
      <c r="D112">
        <v>25</v>
      </c>
      <c r="E112">
        <v>29</v>
      </c>
      <c r="K112" s="2"/>
      <c r="L112" s="15">
        <f t="shared" si="10"/>
        <v>44946</v>
      </c>
      <c r="N112" s="185">
        <f t="shared" si="11"/>
        <v>44951</v>
      </c>
      <c r="O112" s="114">
        <v>44951</v>
      </c>
      <c r="P112" s="10">
        <f t="shared" si="6"/>
        <v>-5</v>
      </c>
      <c r="Q112" s="10">
        <f t="shared" si="7"/>
        <v>0</v>
      </c>
      <c r="R112" s="10">
        <f t="shared" si="8"/>
        <v>-5</v>
      </c>
      <c r="S112" s="10">
        <f t="shared" si="9"/>
        <v>-35</v>
      </c>
    </row>
    <row r="113" spans="1:19" ht="12.75" x14ac:dyDescent="0.2">
      <c r="A113" s="113" t="s">
        <v>304</v>
      </c>
      <c r="B113" s="114">
        <v>44965</v>
      </c>
      <c r="C113" s="113" t="s">
        <v>305</v>
      </c>
      <c r="D113">
        <v>69</v>
      </c>
      <c r="E113">
        <v>29</v>
      </c>
      <c r="K113" s="2"/>
      <c r="L113" s="15">
        <f t="shared" si="10"/>
        <v>44965</v>
      </c>
      <c r="N113" s="185">
        <f t="shared" si="11"/>
        <v>44977</v>
      </c>
      <c r="O113" s="114">
        <v>44977</v>
      </c>
      <c r="P113" s="10">
        <f t="shared" si="6"/>
        <v>-12</v>
      </c>
      <c r="Q113" s="10">
        <f t="shared" si="7"/>
        <v>0</v>
      </c>
      <c r="R113" s="10">
        <f t="shared" si="8"/>
        <v>-12</v>
      </c>
      <c r="S113" s="10">
        <f t="shared" si="9"/>
        <v>-42</v>
      </c>
    </row>
    <row r="114" spans="1:19" ht="12.75" x14ac:dyDescent="0.2">
      <c r="A114" s="113" t="s">
        <v>306</v>
      </c>
      <c r="B114" s="114">
        <v>44959</v>
      </c>
      <c r="C114" s="113" t="s">
        <v>307</v>
      </c>
      <c r="D114">
        <v>1200</v>
      </c>
      <c r="E114">
        <v>29</v>
      </c>
      <c r="K114" s="2"/>
      <c r="L114" s="15">
        <f t="shared" si="10"/>
        <v>44959</v>
      </c>
      <c r="N114" s="185">
        <f t="shared" si="11"/>
        <v>44984</v>
      </c>
      <c r="O114" s="114">
        <v>44984</v>
      </c>
      <c r="P114" s="10">
        <f t="shared" si="6"/>
        <v>-25</v>
      </c>
      <c r="Q114" s="10">
        <f t="shared" si="7"/>
        <v>0</v>
      </c>
      <c r="R114" s="10">
        <f t="shared" si="8"/>
        <v>-25</v>
      </c>
      <c r="S114" s="10">
        <f t="shared" si="9"/>
        <v>-55</v>
      </c>
    </row>
    <row r="115" spans="1:19" ht="12.75" x14ac:dyDescent="0.2">
      <c r="A115" s="113" t="s">
        <v>308</v>
      </c>
      <c r="B115" s="114">
        <v>44974</v>
      </c>
      <c r="C115" s="113" t="s">
        <v>309</v>
      </c>
      <c r="D115">
        <v>1706.1</v>
      </c>
      <c r="E115">
        <v>29</v>
      </c>
      <c r="K115" s="2"/>
      <c r="L115" s="15">
        <f t="shared" si="10"/>
        <v>44974</v>
      </c>
      <c r="N115" s="185">
        <f t="shared" si="11"/>
        <v>44984</v>
      </c>
      <c r="O115" s="114">
        <v>44984</v>
      </c>
      <c r="P115" s="10">
        <f t="shared" si="6"/>
        <v>-10</v>
      </c>
      <c r="Q115" s="10">
        <f t="shared" si="7"/>
        <v>0</v>
      </c>
      <c r="R115" s="10">
        <f t="shared" si="8"/>
        <v>-10</v>
      </c>
      <c r="S115" s="10">
        <f t="shared" si="9"/>
        <v>-40</v>
      </c>
    </row>
    <row r="116" spans="1:19" ht="12.75" x14ac:dyDescent="0.2">
      <c r="A116" s="113" t="s">
        <v>310</v>
      </c>
      <c r="B116" s="114">
        <v>44978</v>
      </c>
      <c r="C116" s="113" t="s">
        <v>255</v>
      </c>
      <c r="D116">
        <v>3360</v>
      </c>
      <c r="E116">
        <v>29</v>
      </c>
      <c r="K116" s="2"/>
      <c r="L116" s="15">
        <f t="shared" si="10"/>
        <v>44978</v>
      </c>
      <c r="N116" s="185">
        <f t="shared" si="11"/>
        <v>44972</v>
      </c>
      <c r="O116" s="114">
        <v>44972</v>
      </c>
      <c r="P116" s="10">
        <f t="shared" si="6"/>
        <v>6</v>
      </c>
      <c r="Q116" s="10">
        <f t="shared" si="7"/>
        <v>0</v>
      </c>
      <c r="R116" s="10">
        <f t="shared" si="8"/>
        <v>6</v>
      </c>
      <c r="S116" s="10">
        <f t="shared" si="9"/>
        <v>-24</v>
      </c>
    </row>
    <row r="117" spans="1:19" ht="12.75" x14ac:dyDescent="0.2">
      <c r="A117" s="113" t="s">
        <v>311</v>
      </c>
      <c r="B117" s="114">
        <v>44972</v>
      </c>
      <c r="C117" s="113" t="s">
        <v>312</v>
      </c>
      <c r="D117">
        <v>55.82</v>
      </c>
      <c r="E117">
        <v>29</v>
      </c>
      <c r="K117" s="2"/>
      <c r="L117" s="15">
        <f t="shared" si="10"/>
        <v>44972</v>
      </c>
      <c r="N117" s="185">
        <f t="shared" si="11"/>
        <v>44972</v>
      </c>
      <c r="O117" s="114">
        <v>44972</v>
      </c>
      <c r="P117" s="10">
        <f t="shared" si="6"/>
        <v>0</v>
      </c>
      <c r="Q117" s="10">
        <f t="shared" si="7"/>
        <v>0</v>
      </c>
      <c r="R117" s="10">
        <f t="shared" si="8"/>
        <v>0</v>
      </c>
      <c r="S117" s="10">
        <f t="shared" si="9"/>
        <v>-30</v>
      </c>
    </row>
    <row r="118" spans="1:19" ht="12.75" x14ac:dyDescent="0.2">
      <c r="A118" s="113" t="s">
        <v>313</v>
      </c>
      <c r="B118" s="114">
        <v>44972</v>
      </c>
      <c r="C118" s="113" t="s">
        <v>314</v>
      </c>
      <c r="D118">
        <v>28.72</v>
      </c>
      <c r="E118">
        <v>29</v>
      </c>
      <c r="K118" s="2"/>
      <c r="L118" s="15">
        <f t="shared" si="10"/>
        <v>44972</v>
      </c>
      <c r="N118" s="185">
        <f t="shared" si="11"/>
        <v>44984</v>
      </c>
      <c r="O118" s="114">
        <v>44984</v>
      </c>
      <c r="P118" s="10">
        <f t="shared" si="6"/>
        <v>-12</v>
      </c>
      <c r="Q118" s="10">
        <f t="shared" si="7"/>
        <v>0</v>
      </c>
      <c r="R118" s="10">
        <f t="shared" si="8"/>
        <v>-12</v>
      </c>
      <c r="S118" s="10">
        <f t="shared" si="9"/>
        <v>-42</v>
      </c>
    </row>
    <row r="119" spans="1:19" ht="12.75" x14ac:dyDescent="0.2">
      <c r="A119" s="113" t="s">
        <v>315</v>
      </c>
      <c r="B119" s="114">
        <v>44981</v>
      </c>
      <c r="C119" s="113" t="s">
        <v>316</v>
      </c>
      <c r="D119">
        <v>4322.24</v>
      </c>
      <c r="E119">
        <v>29</v>
      </c>
      <c r="K119" s="2"/>
      <c r="L119" s="15">
        <f t="shared" si="10"/>
        <v>44981</v>
      </c>
      <c r="N119" s="185">
        <f t="shared" si="11"/>
        <v>44984</v>
      </c>
      <c r="O119" s="114">
        <v>44984</v>
      </c>
      <c r="P119" s="10">
        <f t="shared" si="6"/>
        <v>-3</v>
      </c>
      <c r="Q119" s="10">
        <f t="shared" si="7"/>
        <v>0</v>
      </c>
      <c r="R119" s="10">
        <f t="shared" si="8"/>
        <v>-3</v>
      </c>
      <c r="S119" s="10">
        <f t="shared" si="9"/>
        <v>-33</v>
      </c>
    </row>
    <row r="120" spans="1:19" ht="12.75" x14ac:dyDescent="0.2">
      <c r="A120" s="113" t="s">
        <v>317</v>
      </c>
      <c r="B120" s="114">
        <v>44981</v>
      </c>
      <c r="C120" s="113" t="s">
        <v>318</v>
      </c>
      <c r="D120">
        <v>165</v>
      </c>
      <c r="E120">
        <v>29</v>
      </c>
      <c r="K120" s="2"/>
      <c r="L120" s="15">
        <f t="shared" si="10"/>
        <v>44981</v>
      </c>
      <c r="N120" s="185">
        <f t="shared" si="11"/>
        <v>44984</v>
      </c>
      <c r="O120" s="114">
        <v>44984</v>
      </c>
      <c r="P120" s="10">
        <f t="shared" si="6"/>
        <v>-3</v>
      </c>
      <c r="Q120" s="10">
        <f t="shared" si="7"/>
        <v>0</v>
      </c>
      <c r="R120" s="10">
        <f t="shared" si="8"/>
        <v>-3</v>
      </c>
      <c r="S120" s="10">
        <f t="shared" si="9"/>
        <v>-33</v>
      </c>
    </row>
    <row r="121" spans="1:19" ht="12.75" x14ac:dyDescent="0.2">
      <c r="A121" s="113" t="s">
        <v>319</v>
      </c>
      <c r="B121" s="114">
        <v>44982</v>
      </c>
      <c r="C121" s="113" t="s">
        <v>320</v>
      </c>
      <c r="D121">
        <v>1127.5</v>
      </c>
      <c r="E121">
        <v>29</v>
      </c>
      <c r="K121" s="2"/>
      <c r="L121" s="15">
        <f t="shared" si="10"/>
        <v>44982</v>
      </c>
      <c r="N121" s="185">
        <f t="shared" si="11"/>
        <v>44984</v>
      </c>
      <c r="O121" s="114">
        <v>44984</v>
      </c>
      <c r="P121" s="10">
        <f t="shared" si="6"/>
        <v>-2</v>
      </c>
      <c r="Q121" s="10">
        <f t="shared" si="7"/>
        <v>0</v>
      </c>
      <c r="R121" s="10">
        <f t="shared" si="8"/>
        <v>-2</v>
      </c>
      <c r="S121" s="10">
        <f t="shared" si="9"/>
        <v>-32</v>
      </c>
    </row>
    <row r="122" spans="1:19" ht="12.75" x14ac:dyDescent="0.2">
      <c r="A122" s="113" t="s">
        <v>321</v>
      </c>
      <c r="B122" s="114">
        <v>44956</v>
      </c>
      <c r="C122" s="113" t="s">
        <v>322</v>
      </c>
      <c r="D122">
        <v>338.8</v>
      </c>
      <c r="E122">
        <v>29</v>
      </c>
      <c r="K122" s="2"/>
      <c r="L122" s="15">
        <f t="shared" si="10"/>
        <v>44956</v>
      </c>
      <c r="N122" s="185">
        <f t="shared" si="11"/>
        <v>44984</v>
      </c>
      <c r="O122" s="114">
        <v>44984</v>
      </c>
      <c r="P122" s="10">
        <f t="shared" si="6"/>
        <v>-28</v>
      </c>
      <c r="Q122" s="10">
        <f t="shared" si="7"/>
        <v>0</v>
      </c>
      <c r="R122" s="10">
        <f t="shared" si="8"/>
        <v>-28</v>
      </c>
      <c r="S122" s="10">
        <f t="shared" si="9"/>
        <v>-58</v>
      </c>
    </row>
    <row r="123" spans="1:19" ht="12.75" x14ac:dyDescent="0.2">
      <c r="A123" s="113" t="s">
        <v>323</v>
      </c>
      <c r="B123" s="114">
        <v>44985</v>
      </c>
      <c r="C123" s="113" t="s">
        <v>324</v>
      </c>
      <c r="D123">
        <v>1242.3599999999999</v>
      </c>
      <c r="E123">
        <v>29</v>
      </c>
      <c r="K123" s="2"/>
      <c r="L123" s="15">
        <f t="shared" si="10"/>
        <v>44985</v>
      </c>
      <c r="N123" s="185">
        <f t="shared" si="11"/>
        <v>45000</v>
      </c>
      <c r="O123" s="114">
        <v>45000</v>
      </c>
      <c r="P123" s="10">
        <f t="shared" si="6"/>
        <v>-15</v>
      </c>
      <c r="Q123" s="10">
        <f t="shared" si="7"/>
        <v>0</v>
      </c>
      <c r="R123" s="10">
        <f t="shared" si="8"/>
        <v>-15</v>
      </c>
      <c r="S123" s="10">
        <f t="shared" si="9"/>
        <v>-45</v>
      </c>
    </row>
    <row r="124" spans="1:19" ht="12.75" x14ac:dyDescent="0.2">
      <c r="A124" s="113" t="s">
        <v>325</v>
      </c>
      <c r="B124" s="114">
        <v>44985</v>
      </c>
      <c r="C124" s="113" t="s">
        <v>326</v>
      </c>
      <c r="D124">
        <v>1464.06</v>
      </c>
      <c r="E124">
        <v>29</v>
      </c>
      <c r="K124" s="2"/>
      <c r="L124" s="15">
        <f t="shared" si="10"/>
        <v>44985</v>
      </c>
      <c r="N124" s="185">
        <f t="shared" si="11"/>
        <v>44985</v>
      </c>
      <c r="O124" s="114">
        <v>44985</v>
      </c>
      <c r="P124" s="10">
        <f t="shared" si="6"/>
        <v>0</v>
      </c>
      <c r="Q124" s="10">
        <f t="shared" si="7"/>
        <v>0</v>
      </c>
      <c r="R124" s="10">
        <f t="shared" si="8"/>
        <v>0</v>
      </c>
      <c r="S124" s="10">
        <f t="shared" si="9"/>
        <v>-30</v>
      </c>
    </row>
    <row r="125" spans="1:19" ht="12.75" x14ac:dyDescent="0.2">
      <c r="A125" s="113" t="s">
        <v>327</v>
      </c>
      <c r="B125" s="114">
        <v>44986</v>
      </c>
      <c r="C125" s="113" t="s">
        <v>328</v>
      </c>
      <c r="D125">
        <v>137.34</v>
      </c>
      <c r="E125">
        <v>29</v>
      </c>
      <c r="K125" s="2"/>
      <c r="L125" s="15">
        <f t="shared" si="10"/>
        <v>44986</v>
      </c>
      <c r="N125" s="185">
        <f t="shared" si="11"/>
        <v>44986</v>
      </c>
      <c r="O125" s="114">
        <v>44986</v>
      </c>
      <c r="P125" s="10">
        <f t="shared" si="6"/>
        <v>0</v>
      </c>
      <c r="Q125" s="10">
        <f t="shared" si="7"/>
        <v>0</v>
      </c>
      <c r="R125" s="10">
        <f t="shared" si="8"/>
        <v>0</v>
      </c>
      <c r="S125" s="10">
        <f t="shared" si="9"/>
        <v>-30</v>
      </c>
    </row>
    <row r="126" spans="1:19" ht="12.75" x14ac:dyDescent="0.2">
      <c r="A126" s="113" t="s">
        <v>329</v>
      </c>
      <c r="B126" s="114">
        <v>44986</v>
      </c>
      <c r="C126" s="113" t="s">
        <v>330</v>
      </c>
      <c r="D126">
        <v>7.03</v>
      </c>
      <c r="E126">
        <v>29</v>
      </c>
      <c r="K126" s="2"/>
      <c r="L126" s="15">
        <f t="shared" si="10"/>
        <v>44986</v>
      </c>
      <c r="N126" s="185">
        <f t="shared" si="11"/>
        <v>44986</v>
      </c>
      <c r="O126" s="114">
        <v>44986</v>
      </c>
      <c r="P126" s="10">
        <f t="shared" si="6"/>
        <v>0</v>
      </c>
      <c r="Q126" s="10">
        <f t="shared" si="7"/>
        <v>0</v>
      </c>
      <c r="R126" s="10">
        <f t="shared" si="8"/>
        <v>0</v>
      </c>
      <c r="S126" s="10">
        <f t="shared" si="9"/>
        <v>-30</v>
      </c>
    </row>
    <row r="127" spans="1:19" ht="12.75" x14ac:dyDescent="0.2">
      <c r="A127" s="113" t="s">
        <v>331</v>
      </c>
      <c r="B127" s="114">
        <v>44985</v>
      </c>
      <c r="C127" s="113" t="s">
        <v>332</v>
      </c>
      <c r="D127">
        <v>1108.17</v>
      </c>
      <c r="E127">
        <v>29</v>
      </c>
      <c r="K127" s="2"/>
      <c r="L127" s="15">
        <f t="shared" si="10"/>
        <v>44985</v>
      </c>
      <c r="N127" s="185">
        <f t="shared" si="11"/>
        <v>44985</v>
      </c>
      <c r="O127" s="114">
        <v>44985</v>
      </c>
      <c r="P127" s="10">
        <f t="shared" si="6"/>
        <v>0</v>
      </c>
      <c r="Q127" s="10">
        <f t="shared" si="7"/>
        <v>0</v>
      </c>
      <c r="R127" s="10">
        <f t="shared" si="8"/>
        <v>0</v>
      </c>
      <c r="S127" s="10">
        <f t="shared" si="9"/>
        <v>-30</v>
      </c>
    </row>
    <row r="128" spans="1:19" ht="12.75" x14ac:dyDescent="0.2">
      <c r="A128" s="113" t="s">
        <v>333</v>
      </c>
      <c r="B128" s="114">
        <v>44984</v>
      </c>
      <c r="C128" s="113" t="s">
        <v>334</v>
      </c>
      <c r="D128">
        <v>750.2</v>
      </c>
      <c r="E128">
        <v>29</v>
      </c>
      <c r="K128" s="2"/>
      <c r="L128" s="15">
        <f t="shared" si="10"/>
        <v>44984</v>
      </c>
      <c r="N128" s="185">
        <f t="shared" si="11"/>
        <v>45000</v>
      </c>
      <c r="O128" s="114">
        <v>45000</v>
      </c>
      <c r="P128" s="10">
        <f t="shared" si="6"/>
        <v>-16</v>
      </c>
      <c r="Q128" s="10">
        <f t="shared" si="7"/>
        <v>0</v>
      </c>
      <c r="R128" s="10">
        <f t="shared" si="8"/>
        <v>-16</v>
      </c>
      <c r="S128" s="10">
        <f t="shared" si="9"/>
        <v>-46</v>
      </c>
    </row>
    <row r="129" spans="1:19" ht="12.75" x14ac:dyDescent="0.2">
      <c r="A129" s="113" t="s">
        <v>335</v>
      </c>
      <c r="B129" s="114">
        <v>44949</v>
      </c>
      <c r="C129" s="113" t="s">
        <v>336</v>
      </c>
      <c r="D129">
        <v>2105.3000000000002</v>
      </c>
      <c r="E129">
        <v>29</v>
      </c>
      <c r="K129" s="2"/>
      <c r="L129" s="15">
        <f t="shared" si="10"/>
        <v>44949</v>
      </c>
      <c r="N129" s="185">
        <f t="shared" si="11"/>
        <v>44956</v>
      </c>
      <c r="O129" s="114">
        <v>44956</v>
      </c>
      <c r="P129" s="10">
        <f t="shared" si="6"/>
        <v>-7</v>
      </c>
      <c r="Q129" s="10">
        <f t="shared" si="7"/>
        <v>0</v>
      </c>
      <c r="R129" s="10">
        <f t="shared" si="8"/>
        <v>-7</v>
      </c>
      <c r="S129" s="10">
        <f t="shared" si="9"/>
        <v>-37</v>
      </c>
    </row>
    <row r="130" spans="1:19" ht="12.75" x14ac:dyDescent="0.2">
      <c r="A130" s="113" t="s">
        <v>337</v>
      </c>
      <c r="B130" s="114">
        <v>44972</v>
      </c>
      <c r="C130" s="113" t="s">
        <v>338</v>
      </c>
      <c r="D130">
        <v>39.4</v>
      </c>
      <c r="E130">
        <v>29</v>
      </c>
      <c r="K130" s="2"/>
      <c r="L130" s="15">
        <f t="shared" si="10"/>
        <v>44972</v>
      </c>
      <c r="N130" s="185">
        <f t="shared" si="11"/>
        <v>44974</v>
      </c>
      <c r="O130" s="114">
        <v>44974</v>
      </c>
      <c r="P130" s="10">
        <f t="shared" si="6"/>
        <v>-2</v>
      </c>
      <c r="Q130" s="10">
        <f t="shared" si="7"/>
        <v>0</v>
      </c>
      <c r="R130" s="10">
        <f t="shared" si="8"/>
        <v>-2</v>
      </c>
      <c r="S130" s="10">
        <f t="shared" si="9"/>
        <v>-32</v>
      </c>
    </row>
    <row r="131" spans="1:19" ht="12.75" x14ac:dyDescent="0.2">
      <c r="A131" s="113" t="s">
        <v>339</v>
      </c>
      <c r="B131" s="114">
        <v>44972</v>
      </c>
      <c r="C131" s="113" t="s">
        <v>340</v>
      </c>
      <c r="D131">
        <v>94.5</v>
      </c>
      <c r="E131">
        <v>29</v>
      </c>
      <c r="K131" s="2"/>
      <c r="L131" s="15">
        <f t="shared" si="10"/>
        <v>44972</v>
      </c>
      <c r="N131" s="185">
        <f t="shared" si="11"/>
        <v>44974</v>
      </c>
      <c r="O131" s="114">
        <v>44974</v>
      </c>
      <c r="P131" s="10">
        <f t="shared" si="6"/>
        <v>-2</v>
      </c>
      <c r="Q131" s="10">
        <f t="shared" si="7"/>
        <v>0</v>
      </c>
      <c r="R131" s="10">
        <f t="shared" si="8"/>
        <v>-2</v>
      </c>
      <c r="S131" s="10">
        <f t="shared" si="9"/>
        <v>-32</v>
      </c>
    </row>
    <row r="132" spans="1:19" ht="12.75" x14ac:dyDescent="0.2">
      <c r="A132" s="113" t="s">
        <v>341</v>
      </c>
      <c r="B132" s="114">
        <v>44941</v>
      </c>
      <c r="C132" s="113" t="s">
        <v>342</v>
      </c>
      <c r="D132">
        <v>94.5</v>
      </c>
      <c r="E132">
        <v>29</v>
      </c>
      <c r="K132" s="2"/>
      <c r="L132" s="15">
        <f t="shared" si="10"/>
        <v>44941</v>
      </c>
      <c r="N132" s="185">
        <f t="shared" si="11"/>
        <v>44943</v>
      </c>
      <c r="O132" s="114">
        <v>44943</v>
      </c>
      <c r="P132" s="10">
        <f t="shared" si="6"/>
        <v>-2</v>
      </c>
      <c r="Q132" s="10">
        <f t="shared" si="7"/>
        <v>0</v>
      </c>
      <c r="R132" s="10">
        <f t="shared" si="8"/>
        <v>-2</v>
      </c>
      <c r="S132" s="10">
        <f t="shared" si="9"/>
        <v>-32</v>
      </c>
    </row>
    <row r="133" spans="1:19" ht="12.75" x14ac:dyDescent="0.2">
      <c r="A133" s="113" t="s">
        <v>343</v>
      </c>
      <c r="B133" s="114">
        <v>44942</v>
      </c>
      <c r="C133" s="113" t="s">
        <v>344</v>
      </c>
      <c r="D133">
        <v>39.4</v>
      </c>
      <c r="E133">
        <v>29</v>
      </c>
      <c r="K133" s="2"/>
      <c r="L133" s="15">
        <f t="shared" si="10"/>
        <v>44942</v>
      </c>
      <c r="N133" s="185">
        <f t="shared" si="11"/>
        <v>44943</v>
      </c>
      <c r="O133" s="114">
        <v>44943</v>
      </c>
      <c r="P133" s="10">
        <f t="shared" si="6"/>
        <v>-1</v>
      </c>
      <c r="Q133" s="10">
        <f t="shared" si="7"/>
        <v>0</v>
      </c>
      <c r="R133" s="10">
        <f t="shared" si="8"/>
        <v>-1</v>
      </c>
      <c r="S133" s="10">
        <f t="shared" si="9"/>
        <v>-31</v>
      </c>
    </row>
    <row r="134" spans="1:19" ht="12.75" x14ac:dyDescent="0.2">
      <c r="A134" s="113" t="s">
        <v>345</v>
      </c>
      <c r="B134" s="114">
        <v>44980</v>
      </c>
      <c r="C134" s="113" t="s">
        <v>346</v>
      </c>
      <c r="D134">
        <v>2121.41</v>
      </c>
      <c r="E134">
        <v>29</v>
      </c>
      <c r="K134" s="2"/>
      <c r="L134" s="15">
        <f t="shared" si="10"/>
        <v>44980</v>
      </c>
      <c r="N134" s="185">
        <f t="shared" si="11"/>
        <v>44986</v>
      </c>
      <c r="O134" s="114">
        <v>44986</v>
      </c>
      <c r="P134" s="10">
        <f t="shared" si="6"/>
        <v>-6</v>
      </c>
      <c r="Q134" s="10">
        <f t="shared" si="7"/>
        <v>0</v>
      </c>
      <c r="R134" s="10">
        <f t="shared" si="8"/>
        <v>-6</v>
      </c>
      <c r="S134" s="10">
        <f t="shared" si="9"/>
        <v>-36</v>
      </c>
    </row>
    <row r="135" spans="1:19" ht="12.75" x14ac:dyDescent="0.2">
      <c r="A135" s="113" t="s">
        <v>347</v>
      </c>
      <c r="B135" s="114">
        <v>44986</v>
      </c>
      <c r="C135" s="113" t="s">
        <v>348</v>
      </c>
      <c r="D135">
        <v>605</v>
      </c>
      <c r="E135">
        <v>29</v>
      </c>
      <c r="K135" s="2"/>
      <c r="L135" s="15">
        <f t="shared" si="10"/>
        <v>44986</v>
      </c>
      <c r="N135" s="185">
        <f t="shared" si="11"/>
        <v>45000</v>
      </c>
      <c r="O135" s="114">
        <v>45000</v>
      </c>
      <c r="P135" s="10">
        <f t="shared" ref="P135:P198" si="12">+L135-N135</f>
        <v>-14</v>
      </c>
      <c r="Q135" s="10">
        <f t="shared" ref="Q135:Q198" si="13">+N135-O135</f>
        <v>0</v>
      </c>
      <c r="R135" s="10">
        <f t="shared" ref="R135:R198" si="14">+L135-O135</f>
        <v>-14</v>
      </c>
      <c r="S135" s="10">
        <f t="shared" ref="S135:S198" si="15">+R135-30</f>
        <v>-44</v>
      </c>
    </row>
    <row r="136" spans="1:19" ht="12.75" x14ac:dyDescent="0.2">
      <c r="A136" s="113" t="s">
        <v>349</v>
      </c>
      <c r="B136" s="114">
        <v>44985</v>
      </c>
      <c r="C136" s="113" t="s">
        <v>267</v>
      </c>
      <c r="D136">
        <v>544.5</v>
      </c>
      <c r="E136">
        <v>29</v>
      </c>
      <c r="K136" s="2"/>
      <c r="L136" s="15">
        <f t="shared" ref="L136:L199" si="16">+B136</f>
        <v>44985</v>
      </c>
      <c r="N136" s="185">
        <f t="shared" ref="N136:N199" si="17">+O136</f>
        <v>45000</v>
      </c>
      <c r="O136" s="114">
        <v>45000</v>
      </c>
      <c r="P136" s="10">
        <f t="shared" si="12"/>
        <v>-15</v>
      </c>
      <c r="Q136" s="10">
        <f t="shared" si="13"/>
        <v>0</v>
      </c>
      <c r="R136" s="10">
        <f t="shared" si="14"/>
        <v>-15</v>
      </c>
      <c r="S136" s="10">
        <f t="shared" si="15"/>
        <v>-45</v>
      </c>
    </row>
    <row r="137" spans="1:19" ht="12.75" x14ac:dyDescent="0.2">
      <c r="A137" s="113" t="s">
        <v>350</v>
      </c>
      <c r="B137" s="114">
        <v>44985</v>
      </c>
      <c r="C137" s="113" t="s">
        <v>351</v>
      </c>
      <c r="D137">
        <v>271.14999999999998</v>
      </c>
      <c r="E137">
        <v>29</v>
      </c>
      <c r="K137" s="2"/>
      <c r="L137" s="15">
        <f t="shared" si="16"/>
        <v>44985</v>
      </c>
      <c r="N137" s="185">
        <f t="shared" si="17"/>
        <v>44991</v>
      </c>
      <c r="O137" s="114">
        <v>44991</v>
      </c>
      <c r="P137" s="10">
        <f t="shared" si="12"/>
        <v>-6</v>
      </c>
      <c r="Q137" s="10">
        <f t="shared" si="13"/>
        <v>0</v>
      </c>
      <c r="R137" s="10">
        <f t="shared" si="14"/>
        <v>-6</v>
      </c>
      <c r="S137" s="10">
        <f t="shared" si="15"/>
        <v>-36</v>
      </c>
    </row>
    <row r="138" spans="1:19" ht="12.75" x14ac:dyDescent="0.2">
      <c r="A138" s="113" t="s">
        <v>352</v>
      </c>
      <c r="B138" s="114">
        <v>44985</v>
      </c>
      <c r="C138" s="113" t="s">
        <v>353</v>
      </c>
      <c r="D138">
        <v>190.61</v>
      </c>
      <c r="E138">
        <v>29</v>
      </c>
      <c r="K138" s="2"/>
      <c r="L138" s="15">
        <f t="shared" si="16"/>
        <v>44985</v>
      </c>
      <c r="N138" s="185">
        <f t="shared" si="17"/>
        <v>44991</v>
      </c>
      <c r="O138" s="114">
        <v>44991</v>
      </c>
      <c r="P138" s="10">
        <f t="shared" si="12"/>
        <v>-6</v>
      </c>
      <c r="Q138" s="10">
        <f t="shared" si="13"/>
        <v>0</v>
      </c>
      <c r="R138" s="10">
        <f t="shared" si="14"/>
        <v>-6</v>
      </c>
      <c r="S138" s="10">
        <f t="shared" si="15"/>
        <v>-36</v>
      </c>
    </row>
    <row r="139" spans="1:19" ht="12.75" x14ac:dyDescent="0.2">
      <c r="A139" s="113" t="s">
        <v>354</v>
      </c>
      <c r="B139" s="114">
        <v>44927</v>
      </c>
      <c r="C139" s="113" t="s">
        <v>355</v>
      </c>
      <c r="D139">
        <v>167.97</v>
      </c>
      <c r="E139">
        <v>29</v>
      </c>
      <c r="K139" s="2"/>
      <c r="L139" s="15">
        <f t="shared" si="16"/>
        <v>44927</v>
      </c>
      <c r="N139" s="185">
        <f t="shared" si="17"/>
        <v>44951</v>
      </c>
      <c r="O139" s="114">
        <v>44951</v>
      </c>
      <c r="P139" s="10">
        <f t="shared" si="12"/>
        <v>-24</v>
      </c>
      <c r="Q139" s="10">
        <f t="shared" si="13"/>
        <v>0</v>
      </c>
      <c r="R139" s="10">
        <f t="shared" si="14"/>
        <v>-24</v>
      </c>
      <c r="S139" s="10">
        <f t="shared" si="15"/>
        <v>-54</v>
      </c>
    </row>
    <row r="140" spans="1:19" ht="12.75" x14ac:dyDescent="0.2">
      <c r="A140" s="113" t="s">
        <v>356</v>
      </c>
      <c r="B140" s="114">
        <v>44984</v>
      </c>
      <c r="C140" s="113" t="s">
        <v>357</v>
      </c>
      <c r="D140">
        <v>20.66</v>
      </c>
      <c r="E140">
        <v>29</v>
      </c>
      <c r="K140" s="2"/>
      <c r="L140" s="15">
        <f t="shared" si="16"/>
        <v>44984</v>
      </c>
      <c r="N140" s="185">
        <f t="shared" si="17"/>
        <v>45002</v>
      </c>
      <c r="O140" s="114">
        <v>45002</v>
      </c>
      <c r="P140" s="10">
        <f t="shared" si="12"/>
        <v>-18</v>
      </c>
      <c r="Q140" s="10">
        <f t="shared" si="13"/>
        <v>0</v>
      </c>
      <c r="R140" s="10">
        <f t="shared" si="14"/>
        <v>-18</v>
      </c>
      <c r="S140" s="10">
        <f t="shared" si="15"/>
        <v>-48</v>
      </c>
    </row>
    <row r="141" spans="1:19" ht="12.75" x14ac:dyDescent="0.2">
      <c r="A141" s="113" t="s">
        <v>358</v>
      </c>
      <c r="B141" s="114">
        <v>44984</v>
      </c>
      <c r="C141" s="113" t="s">
        <v>359</v>
      </c>
      <c r="D141">
        <v>38.67</v>
      </c>
      <c r="E141">
        <v>29</v>
      </c>
      <c r="K141" s="2"/>
      <c r="L141" s="15">
        <f t="shared" si="16"/>
        <v>44984</v>
      </c>
      <c r="N141" s="185">
        <f t="shared" si="17"/>
        <v>45002</v>
      </c>
      <c r="O141" s="114">
        <v>45002</v>
      </c>
      <c r="P141" s="10">
        <f t="shared" si="12"/>
        <v>-18</v>
      </c>
      <c r="Q141" s="10">
        <f t="shared" si="13"/>
        <v>0</v>
      </c>
      <c r="R141" s="10">
        <f t="shared" si="14"/>
        <v>-18</v>
      </c>
      <c r="S141" s="10">
        <f t="shared" si="15"/>
        <v>-48</v>
      </c>
    </row>
    <row r="142" spans="1:19" ht="12.75" x14ac:dyDescent="0.2">
      <c r="A142" s="113" t="s">
        <v>360</v>
      </c>
      <c r="B142" s="114">
        <v>44985</v>
      </c>
      <c r="C142" s="113" t="s">
        <v>361</v>
      </c>
      <c r="D142">
        <v>343.64</v>
      </c>
      <c r="E142">
        <v>29</v>
      </c>
      <c r="K142" s="2"/>
      <c r="L142" s="15">
        <f t="shared" si="16"/>
        <v>44985</v>
      </c>
      <c r="N142" s="185">
        <f t="shared" si="17"/>
        <v>45000</v>
      </c>
      <c r="O142" s="114">
        <v>45000</v>
      </c>
      <c r="P142" s="10">
        <f t="shared" si="12"/>
        <v>-15</v>
      </c>
      <c r="Q142" s="10">
        <f t="shared" si="13"/>
        <v>0</v>
      </c>
      <c r="R142" s="10">
        <f t="shared" si="14"/>
        <v>-15</v>
      </c>
      <c r="S142" s="10">
        <f t="shared" si="15"/>
        <v>-45</v>
      </c>
    </row>
    <row r="143" spans="1:19" ht="12.75" x14ac:dyDescent="0.2">
      <c r="A143" s="113" t="s">
        <v>362</v>
      </c>
      <c r="B143" s="114">
        <v>44956</v>
      </c>
      <c r="C143" s="113" t="s">
        <v>363</v>
      </c>
      <c r="D143">
        <v>18.87</v>
      </c>
      <c r="E143">
        <v>29</v>
      </c>
      <c r="K143" s="2"/>
      <c r="L143" s="15">
        <f t="shared" si="16"/>
        <v>44956</v>
      </c>
      <c r="N143" s="185">
        <f t="shared" si="17"/>
        <v>44974</v>
      </c>
      <c r="O143" s="114">
        <v>44974</v>
      </c>
      <c r="P143" s="10">
        <f t="shared" si="12"/>
        <v>-18</v>
      </c>
      <c r="Q143" s="10">
        <f t="shared" si="13"/>
        <v>0</v>
      </c>
      <c r="R143" s="10">
        <f t="shared" si="14"/>
        <v>-18</v>
      </c>
      <c r="S143" s="10">
        <f t="shared" si="15"/>
        <v>-48</v>
      </c>
    </row>
    <row r="144" spans="1:19" ht="12.75" x14ac:dyDescent="0.2">
      <c r="A144" s="113" t="s">
        <v>364</v>
      </c>
      <c r="B144" s="114">
        <v>44956</v>
      </c>
      <c r="C144" s="113" t="s">
        <v>365</v>
      </c>
      <c r="D144">
        <v>26.13</v>
      </c>
      <c r="E144">
        <v>29</v>
      </c>
      <c r="K144" s="2"/>
      <c r="L144" s="15">
        <f t="shared" si="16"/>
        <v>44956</v>
      </c>
      <c r="N144" s="185">
        <f t="shared" si="17"/>
        <v>44974</v>
      </c>
      <c r="O144" s="114">
        <v>44974</v>
      </c>
      <c r="P144" s="10">
        <f t="shared" si="12"/>
        <v>-18</v>
      </c>
      <c r="Q144" s="10">
        <f t="shared" si="13"/>
        <v>0</v>
      </c>
      <c r="R144" s="10">
        <f t="shared" si="14"/>
        <v>-18</v>
      </c>
      <c r="S144" s="10">
        <f t="shared" si="15"/>
        <v>-48</v>
      </c>
    </row>
    <row r="145" spans="1:19" ht="12.75" x14ac:dyDescent="0.2">
      <c r="A145" s="113" t="s">
        <v>366</v>
      </c>
      <c r="B145" s="114">
        <v>44956</v>
      </c>
      <c r="C145" s="113" t="s">
        <v>367</v>
      </c>
      <c r="D145">
        <v>12.99</v>
      </c>
      <c r="E145">
        <v>29</v>
      </c>
      <c r="K145" s="2"/>
      <c r="L145" s="15">
        <f t="shared" si="16"/>
        <v>44956</v>
      </c>
      <c r="N145" s="185">
        <f t="shared" si="17"/>
        <v>44974</v>
      </c>
      <c r="O145" s="114">
        <v>44974</v>
      </c>
      <c r="P145" s="10">
        <f t="shared" si="12"/>
        <v>-18</v>
      </c>
      <c r="Q145" s="10">
        <f t="shared" si="13"/>
        <v>0</v>
      </c>
      <c r="R145" s="10">
        <f t="shared" si="14"/>
        <v>-18</v>
      </c>
      <c r="S145" s="10">
        <f t="shared" si="15"/>
        <v>-48</v>
      </c>
    </row>
    <row r="146" spans="1:19" ht="12.75" x14ac:dyDescent="0.2">
      <c r="A146" s="113" t="s">
        <v>368</v>
      </c>
      <c r="B146" s="114">
        <v>44956</v>
      </c>
      <c r="C146" s="113" t="s">
        <v>369</v>
      </c>
      <c r="D146">
        <v>558.71</v>
      </c>
      <c r="E146">
        <v>29</v>
      </c>
      <c r="K146" s="2"/>
      <c r="L146" s="15">
        <f t="shared" si="16"/>
        <v>44956</v>
      </c>
      <c r="N146" s="185">
        <f t="shared" si="17"/>
        <v>44974</v>
      </c>
      <c r="O146" s="114">
        <v>44974</v>
      </c>
      <c r="P146" s="10">
        <f t="shared" si="12"/>
        <v>-18</v>
      </c>
      <c r="Q146" s="10">
        <f t="shared" si="13"/>
        <v>0</v>
      </c>
      <c r="R146" s="10">
        <f t="shared" si="14"/>
        <v>-18</v>
      </c>
      <c r="S146" s="10">
        <f t="shared" si="15"/>
        <v>-48</v>
      </c>
    </row>
    <row r="147" spans="1:19" ht="12.75" x14ac:dyDescent="0.2">
      <c r="A147" s="113" t="s">
        <v>370</v>
      </c>
      <c r="B147" s="114">
        <v>44956</v>
      </c>
      <c r="C147" s="113" t="s">
        <v>371</v>
      </c>
      <c r="D147">
        <v>1307.1600000000001</v>
      </c>
      <c r="E147">
        <v>29</v>
      </c>
      <c r="K147" s="2"/>
      <c r="L147" s="15">
        <f t="shared" si="16"/>
        <v>44956</v>
      </c>
      <c r="N147" s="185">
        <f t="shared" si="17"/>
        <v>44974</v>
      </c>
      <c r="O147" s="114">
        <v>44974</v>
      </c>
      <c r="P147" s="10">
        <f t="shared" si="12"/>
        <v>-18</v>
      </c>
      <c r="Q147" s="10">
        <f t="shared" si="13"/>
        <v>0</v>
      </c>
      <c r="R147" s="10">
        <f t="shared" si="14"/>
        <v>-18</v>
      </c>
      <c r="S147" s="10">
        <f t="shared" si="15"/>
        <v>-48</v>
      </c>
    </row>
    <row r="148" spans="1:19" ht="12.75" x14ac:dyDescent="0.2">
      <c r="A148" s="113" t="s">
        <v>372</v>
      </c>
      <c r="B148" s="114">
        <v>44956</v>
      </c>
      <c r="C148" s="113" t="s">
        <v>373</v>
      </c>
      <c r="D148">
        <v>12.83</v>
      </c>
      <c r="E148">
        <v>29</v>
      </c>
      <c r="K148" s="2"/>
      <c r="L148" s="15">
        <f t="shared" si="16"/>
        <v>44956</v>
      </c>
      <c r="N148" s="185">
        <f t="shared" si="17"/>
        <v>44974</v>
      </c>
      <c r="O148" s="114">
        <v>44974</v>
      </c>
      <c r="P148" s="10">
        <f t="shared" si="12"/>
        <v>-18</v>
      </c>
      <c r="Q148" s="10">
        <f t="shared" si="13"/>
        <v>0</v>
      </c>
      <c r="R148" s="10">
        <f t="shared" si="14"/>
        <v>-18</v>
      </c>
      <c r="S148" s="10">
        <f t="shared" si="15"/>
        <v>-48</v>
      </c>
    </row>
    <row r="149" spans="1:19" ht="12.75" x14ac:dyDescent="0.2">
      <c r="A149" s="113" t="s">
        <v>374</v>
      </c>
      <c r="B149" s="114">
        <v>44956</v>
      </c>
      <c r="C149" s="113" t="s">
        <v>375</v>
      </c>
      <c r="D149">
        <v>36.72</v>
      </c>
      <c r="E149">
        <v>29</v>
      </c>
      <c r="K149" s="2"/>
      <c r="L149" s="15">
        <f t="shared" si="16"/>
        <v>44956</v>
      </c>
      <c r="N149" s="185">
        <f t="shared" si="17"/>
        <v>44974</v>
      </c>
      <c r="O149" s="114">
        <v>44974</v>
      </c>
      <c r="P149" s="10">
        <f t="shared" si="12"/>
        <v>-18</v>
      </c>
      <c r="Q149" s="10">
        <f t="shared" si="13"/>
        <v>0</v>
      </c>
      <c r="R149" s="10">
        <f t="shared" si="14"/>
        <v>-18</v>
      </c>
      <c r="S149" s="10">
        <f t="shared" si="15"/>
        <v>-48</v>
      </c>
    </row>
    <row r="150" spans="1:19" ht="12.75" x14ac:dyDescent="0.2">
      <c r="A150" s="113" t="s">
        <v>376</v>
      </c>
      <c r="B150" s="114">
        <v>44956</v>
      </c>
      <c r="C150" s="113" t="s">
        <v>377</v>
      </c>
      <c r="D150">
        <v>29.17</v>
      </c>
      <c r="E150">
        <v>29</v>
      </c>
      <c r="K150" s="2"/>
      <c r="L150" s="15">
        <f t="shared" si="16"/>
        <v>44956</v>
      </c>
      <c r="N150" s="185">
        <f t="shared" si="17"/>
        <v>44974</v>
      </c>
      <c r="O150" s="114">
        <v>44974</v>
      </c>
      <c r="P150" s="10">
        <f t="shared" si="12"/>
        <v>-18</v>
      </c>
      <c r="Q150" s="10">
        <f t="shared" si="13"/>
        <v>0</v>
      </c>
      <c r="R150" s="10">
        <f t="shared" si="14"/>
        <v>-18</v>
      </c>
      <c r="S150" s="10">
        <f t="shared" si="15"/>
        <v>-48</v>
      </c>
    </row>
    <row r="151" spans="1:19" ht="12.75" x14ac:dyDescent="0.2">
      <c r="A151" s="113" t="s">
        <v>378</v>
      </c>
      <c r="B151" s="114">
        <v>44956</v>
      </c>
      <c r="C151" s="113" t="s">
        <v>379</v>
      </c>
      <c r="D151">
        <v>451.16</v>
      </c>
      <c r="E151">
        <v>29</v>
      </c>
      <c r="K151" s="2"/>
      <c r="L151" s="15">
        <f t="shared" si="16"/>
        <v>44956</v>
      </c>
      <c r="N151" s="185">
        <f t="shared" si="17"/>
        <v>44974</v>
      </c>
      <c r="O151" s="114">
        <v>44974</v>
      </c>
      <c r="P151" s="10">
        <f t="shared" si="12"/>
        <v>-18</v>
      </c>
      <c r="Q151" s="10">
        <f t="shared" si="13"/>
        <v>0</v>
      </c>
      <c r="R151" s="10">
        <f t="shared" si="14"/>
        <v>-18</v>
      </c>
      <c r="S151" s="10">
        <f t="shared" si="15"/>
        <v>-48</v>
      </c>
    </row>
    <row r="152" spans="1:19" ht="12.75" x14ac:dyDescent="0.2">
      <c r="A152" s="113" t="s">
        <v>380</v>
      </c>
      <c r="B152" s="114">
        <v>44984</v>
      </c>
      <c r="C152" s="113" t="s">
        <v>381</v>
      </c>
      <c r="D152">
        <v>73.03</v>
      </c>
      <c r="E152">
        <v>29</v>
      </c>
      <c r="K152" s="2"/>
      <c r="L152" s="15">
        <f t="shared" si="16"/>
        <v>44984</v>
      </c>
      <c r="N152" s="185">
        <f t="shared" si="17"/>
        <v>45002</v>
      </c>
      <c r="O152" s="114">
        <v>45002</v>
      </c>
      <c r="P152" s="10">
        <f t="shared" si="12"/>
        <v>-18</v>
      </c>
      <c r="Q152" s="10">
        <f t="shared" si="13"/>
        <v>0</v>
      </c>
      <c r="R152" s="10">
        <f t="shared" si="14"/>
        <v>-18</v>
      </c>
      <c r="S152" s="10">
        <f t="shared" si="15"/>
        <v>-48</v>
      </c>
    </row>
    <row r="153" spans="1:19" ht="12.75" x14ac:dyDescent="0.2">
      <c r="A153" s="113" t="s">
        <v>382</v>
      </c>
      <c r="B153" s="114">
        <v>44984</v>
      </c>
      <c r="C153" s="113" t="s">
        <v>383</v>
      </c>
      <c r="D153">
        <v>13.23</v>
      </c>
      <c r="E153">
        <v>29</v>
      </c>
      <c r="K153" s="2"/>
      <c r="L153" s="15">
        <f t="shared" si="16"/>
        <v>44984</v>
      </c>
      <c r="N153" s="185">
        <f t="shared" si="17"/>
        <v>45002</v>
      </c>
      <c r="O153" s="114">
        <v>45002</v>
      </c>
      <c r="P153" s="10">
        <f t="shared" si="12"/>
        <v>-18</v>
      </c>
      <c r="Q153" s="10">
        <f t="shared" si="13"/>
        <v>0</v>
      </c>
      <c r="R153" s="10">
        <f t="shared" si="14"/>
        <v>-18</v>
      </c>
      <c r="S153" s="10">
        <f t="shared" si="15"/>
        <v>-48</v>
      </c>
    </row>
    <row r="154" spans="1:19" ht="12.75" x14ac:dyDescent="0.2">
      <c r="A154" s="113" t="s">
        <v>384</v>
      </c>
      <c r="B154" s="114">
        <v>44984</v>
      </c>
      <c r="C154" s="113" t="s">
        <v>385</v>
      </c>
      <c r="D154">
        <v>208.07</v>
      </c>
      <c r="E154">
        <v>29</v>
      </c>
      <c r="K154" s="2"/>
      <c r="L154" s="15">
        <f t="shared" si="16"/>
        <v>44984</v>
      </c>
      <c r="N154" s="185">
        <f t="shared" si="17"/>
        <v>45002</v>
      </c>
      <c r="O154" s="114">
        <v>45002</v>
      </c>
      <c r="P154" s="10">
        <f t="shared" si="12"/>
        <v>-18</v>
      </c>
      <c r="Q154" s="10">
        <f t="shared" si="13"/>
        <v>0</v>
      </c>
      <c r="R154" s="10">
        <f t="shared" si="14"/>
        <v>-18</v>
      </c>
      <c r="S154" s="10">
        <f t="shared" si="15"/>
        <v>-48</v>
      </c>
    </row>
    <row r="155" spans="1:19" ht="12.75" x14ac:dyDescent="0.2">
      <c r="A155" s="113" t="s">
        <v>386</v>
      </c>
      <c r="B155" s="114">
        <v>44984</v>
      </c>
      <c r="C155" s="113" t="s">
        <v>387</v>
      </c>
      <c r="D155">
        <v>25.81</v>
      </c>
      <c r="E155">
        <v>29</v>
      </c>
      <c r="K155" s="2"/>
      <c r="L155" s="15">
        <f t="shared" si="16"/>
        <v>44984</v>
      </c>
      <c r="N155" s="185">
        <f t="shared" si="17"/>
        <v>45002</v>
      </c>
      <c r="O155" s="114">
        <v>45002</v>
      </c>
      <c r="P155" s="10">
        <f t="shared" si="12"/>
        <v>-18</v>
      </c>
      <c r="Q155" s="10">
        <f t="shared" si="13"/>
        <v>0</v>
      </c>
      <c r="R155" s="10">
        <f t="shared" si="14"/>
        <v>-18</v>
      </c>
      <c r="S155" s="10">
        <f t="shared" si="15"/>
        <v>-48</v>
      </c>
    </row>
    <row r="156" spans="1:19" ht="12.75" x14ac:dyDescent="0.2">
      <c r="A156" s="113" t="s">
        <v>388</v>
      </c>
      <c r="B156" s="114">
        <v>44984</v>
      </c>
      <c r="C156" s="113" t="s">
        <v>389</v>
      </c>
      <c r="D156">
        <v>13.42</v>
      </c>
      <c r="E156">
        <v>29</v>
      </c>
      <c r="K156" s="2"/>
      <c r="L156" s="15">
        <f t="shared" si="16"/>
        <v>44984</v>
      </c>
      <c r="N156" s="185">
        <f t="shared" si="17"/>
        <v>45002</v>
      </c>
      <c r="O156" s="114">
        <v>45002</v>
      </c>
      <c r="P156" s="10">
        <f t="shared" si="12"/>
        <v>-18</v>
      </c>
      <c r="Q156" s="10">
        <f t="shared" si="13"/>
        <v>0</v>
      </c>
      <c r="R156" s="10">
        <f t="shared" si="14"/>
        <v>-18</v>
      </c>
      <c r="S156" s="10">
        <f t="shared" si="15"/>
        <v>-48</v>
      </c>
    </row>
    <row r="157" spans="1:19" ht="12.75" x14ac:dyDescent="0.2">
      <c r="A157" s="113" t="s">
        <v>390</v>
      </c>
      <c r="B157" s="114">
        <v>44984</v>
      </c>
      <c r="C157" s="113" t="s">
        <v>391</v>
      </c>
      <c r="D157">
        <v>10.31</v>
      </c>
      <c r="E157">
        <v>29</v>
      </c>
      <c r="K157" s="2"/>
      <c r="L157" s="15">
        <f t="shared" si="16"/>
        <v>44984</v>
      </c>
      <c r="N157" s="185">
        <f t="shared" si="17"/>
        <v>45002</v>
      </c>
      <c r="O157" s="114">
        <v>45002</v>
      </c>
      <c r="P157" s="10">
        <f t="shared" si="12"/>
        <v>-18</v>
      </c>
      <c r="Q157" s="10">
        <f t="shared" si="13"/>
        <v>0</v>
      </c>
      <c r="R157" s="10">
        <f t="shared" si="14"/>
        <v>-18</v>
      </c>
      <c r="S157" s="10">
        <f t="shared" si="15"/>
        <v>-48</v>
      </c>
    </row>
    <row r="158" spans="1:19" ht="12.75" x14ac:dyDescent="0.2">
      <c r="A158" s="113" t="s">
        <v>392</v>
      </c>
      <c r="B158" s="114">
        <v>44984</v>
      </c>
      <c r="C158" s="113" t="s">
        <v>393</v>
      </c>
      <c r="D158">
        <v>1750.71</v>
      </c>
      <c r="E158">
        <v>29</v>
      </c>
      <c r="K158" s="2"/>
      <c r="L158" s="15">
        <f t="shared" si="16"/>
        <v>44984</v>
      </c>
      <c r="N158" s="185">
        <f t="shared" si="17"/>
        <v>45002</v>
      </c>
      <c r="O158" s="114">
        <v>45002</v>
      </c>
      <c r="P158" s="10">
        <f t="shared" si="12"/>
        <v>-18</v>
      </c>
      <c r="Q158" s="10">
        <f t="shared" si="13"/>
        <v>0</v>
      </c>
      <c r="R158" s="10">
        <f t="shared" si="14"/>
        <v>-18</v>
      </c>
      <c r="S158" s="10">
        <f t="shared" si="15"/>
        <v>-48</v>
      </c>
    </row>
    <row r="159" spans="1:19" ht="12.75" x14ac:dyDescent="0.2">
      <c r="A159" s="113" t="s">
        <v>394</v>
      </c>
      <c r="B159" s="114">
        <v>44984</v>
      </c>
      <c r="C159" s="113" t="s">
        <v>395</v>
      </c>
      <c r="D159">
        <v>510.1</v>
      </c>
      <c r="E159">
        <v>29</v>
      </c>
      <c r="K159" s="2"/>
      <c r="L159" s="15">
        <f t="shared" si="16"/>
        <v>44984</v>
      </c>
      <c r="N159" s="185">
        <f t="shared" si="17"/>
        <v>45002</v>
      </c>
      <c r="O159" s="114">
        <v>45002</v>
      </c>
      <c r="P159" s="10">
        <f t="shared" si="12"/>
        <v>-18</v>
      </c>
      <c r="Q159" s="10">
        <f t="shared" si="13"/>
        <v>0</v>
      </c>
      <c r="R159" s="10">
        <f t="shared" si="14"/>
        <v>-18</v>
      </c>
      <c r="S159" s="10">
        <f t="shared" si="15"/>
        <v>-48</v>
      </c>
    </row>
    <row r="160" spans="1:19" ht="12.75" x14ac:dyDescent="0.2">
      <c r="A160" s="113" t="s">
        <v>396</v>
      </c>
      <c r="B160" s="114">
        <v>44984</v>
      </c>
      <c r="C160" s="113" t="s">
        <v>397</v>
      </c>
      <c r="D160">
        <v>1235.23</v>
      </c>
      <c r="E160">
        <v>29</v>
      </c>
      <c r="K160" s="2"/>
      <c r="L160" s="15">
        <f t="shared" si="16"/>
        <v>44984</v>
      </c>
      <c r="N160" s="185">
        <f t="shared" si="17"/>
        <v>45002</v>
      </c>
      <c r="O160" s="114">
        <v>45002</v>
      </c>
      <c r="P160" s="10">
        <f t="shared" si="12"/>
        <v>-18</v>
      </c>
      <c r="Q160" s="10">
        <f t="shared" si="13"/>
        <v>0</v>
      </c>
      <c r="R160" s="10">
        <f t="shared" si="14"/>
        <v>-18</v>
      </c>
      <c r="S160" s="10">
        <f t="shared" si="15"/>
        <v>-48</v>
      </c>
    </row>
    <row r="161" spans="1:19" ht="12.75" x14ac:dyDescent="0.2">
      <c r="A161" s="113" t="s">
        <v>398</v>
      </c>
      <c r="B161" s="114">
        <v>44984</v>
      </c>
      <c r="C161" s="113" t="s">
        <v>399</v>
      </c>
      <c r="D161">
        <v>560.45000000000005</v>
      </c>
      <c r="E161">
        <v>29</v>
      </c>
      <c r="K161" s="2"/>
      <c r="L161" s="15">
        <f t="shared" si="16"/>
        <v>44984</v>
      </c>
      <c r="N161" s="185">
        <f t="shared" si="17"/>
        <v>45002</v>
      </c>
      <c r="O161" s="114">
        <v>45002</v>
      </c>
      <c r="P161" s="10">
        <f t="shared" si="12"/>
        <v>-18</v>
      </c>
      <c r="Q161" s="10">
        <f t="shared" si="13"/>
        <v>0</v>
      </c>
      <c r="R161" s="10">
        <f t="shared" si="14"/>
        <v>-18</v>
      </c>
      <c r="S161" s="10">
        <f t="shared" si="15"/>
        <v>-48</v>
      </c>
    </row>
    <row r="162" spans="1:19" ht="12.75" x14ac:dyDescent="0.2">
      <c r="A162" s="113" t="s">
        <v>400</v>
      </c>
      <c r="B162" s="114">
        <v>44984</v>
      </c>
      <c r="C162" s="113" t="s">
        <v>401</v>
      </c>
      <c r="D162">
        <v>623.37</v>
      </c>
      <c r="E162">
        <v>29</v>
      </c>
      <c r="K162" s="2"/>
      <c r="L162" s="15">
        <f t="shared" si="16"/>
        <v>44984</v>
      </c>
      <c r="N162" s="185">
        <f t="shared" si="17"/>
        <v>45002</v>
      </c>
      <c r="O162" s="114">
        <v>45002</v>
      </c>
      <c r="P162" s="10">
        <f t="shared" si="12"/>
        <v>-18</v>
      </c>
      <c r="Q162" s="10">
        <f t="shared" si="13"/>
        <v>0</v>
      </c>
      <c r="R162" s="10">
        <f t="shared" si="14"/>
        <v>-18</v>
      </c>
      <c r="S162" s="10">
        <f t="shared" si="15"/>
        <v>-48</v>
      </c>
    </row>
    <row r="163" spans="1:19" ht="12.75" x14ac:dyDescent="0.2">
      <c r="A163" s="113" t="s">
        <v>402</v>
      </c>
      <c r="B163" s="114">
        <v>44956</v>
      </c>
      <c r="C163" s="113" t="s">
        <v>403</v>
      </c>
      <c r="D163">
        <v>10.82</v>
      </c>
      <c r="E163">
        <v>29</v>
      </c>
      <c r="K163" s="2"/>
      <c r="L163" s="15">
        <f t="shared" si="16"/>
        <v>44956</v>
      </c>
      <c r="N163" s="185">
        <f t="shared" si="17"/>
        <v>44974</v>
      </c>
      <c r="O163" s="114">
        <v>44974</v>
      </c>
      <c r="P163" s="10">
        <f t="shared" si="12"/>
        <v>-18</v>
      </c>
      <c r="Q163" s="10">
        <f t="shared" si="13"/>
        <v>0</v>
      </c>
      <c r="R163" s="10">
        <f t="shared" si="14"/>
        <v>-18</v>
      </c>
      <c r="S163" s="10">
        <f t="shared" si="15"/>
        <v>-48</v>
      </c>
    </row>
    <row r="164" spans="1:19" ht="12.75" x14ac:dyDescent="0.2">
      <c r="A164" s="113" t="s">
        <v>404</v>
      </c>
      <c r="B164" s="114">
        <v>44956</v>
      </c>
      <c r="C164" s="113" t="s">
        <v>405</v>
      </c>
      <c r="D164">
        <v>11.76</v>
      </c>
      <c r="E164">
        <v>29</v>
      </c>
      <c r="K164" s="2"/>
      <c r="L164" s="15">
        <f t="shared" si="16"/>
        <v>44956</v>
      </c>
      <c r="N164" s="185">
        <f t="shared" si="17"/>
        <v>45002</v>
      </c>
      <c r="O164" s="114">
        <v>45002</v>
      </c>
      <c r="P164" s="10">
        <f t="shared" si="12"/>
        <v>-46</v>
      </c>
      <c r="Q164" s="10">
        <f t="shared" si="13"/>
        <v>0</v>
      </c>
      <c r="R164" s="10">
        <f t="shared" si="14"/>
        <v>-46</v>
      </c>
      <c r="S164" s="10">
        <f t="shared" si="15"/>
        <v>-76</v>
      </c>
    </row>
    <row r="165" spans="1:19" ht="12.75" x14ac:dyDescent="0.2">
      <c r="A165" s="113" t="s">
        <v>406</v>
      </c>
      <c r="B165" s="114">
        <v>44984</v>
      </c>
      <c r="C165" s="113" t="s">
        <v>407</v>
      </c>
      <c r="D165">
        <v>20.14</v>
      </c>
      <c r="E165">
        <v>29</v>
      </c>
      <c r="K165" s="2"/>
      <c r="L165" s="15">
        <f t="shared" si="16"/>
        <v>44984</v>
      </c>
      <c r="N165" s="185">
        <f t="shared" si="17"/>
        <v>45002</v>
      </c>
      <c r="O165" s="114">
        <v>45002</v>
      </c>
      <c r="P165" s="10">
        <f t="shared" si="12"/>
        <v>-18</v>
      </c>
      <c r="Q165" s="10">
        <f t="shared" si="13"/>
        <v>0</v>
      </c>
      <c r="R165" s="10">
        <f t="shared" si="14"/>
        <v>-18</v>
      </c>
      <c r="S165" s="10">
        <f t="shared" si="15"/>
        <v>-48</v>
      </c>
    </row>
    <row r="166" spans="1:19" ht="12.75" x14ac:dyDescent="0.2">
      <c r="A166" s="113" t="s">
        <v>408</v>
      </c>
      <c r="B166" s="114">
        <v>44958</v>
      </c>
      <c r="C166" s="113" t="s">
        <v>409</v>
      </c>
      <c r="D166">
        <v>143.83000000000001</v>
      </c>
      <c r="E166">
        <v>29</v>
      </c>
      <c r="K166" s="2"/>
      <c r="L166" s="15">
        <f t="shared" si="16"/>
        <v>44958</v>
      </c>
      <c r="N166" s="185">
        <f t="shared" si="17"/>
        <v>44959</v>
      </c>
      <c r="O166" s="114">
        <v>44959</v>
      </c>
      <c r="P166" s="10">
        <f t="shared" si="12"/>
        <v>-1</v>
      </c>
      <c r="Q166" s="10">
        <f t="shared" si="13"/>
        <v>0</v>
      </c>
      <c r="R166" s="10">
        <f t="shared" si="14"/>
        <v>-1</v>
      </c>
      <c r="S166" s="10">
        <f t="shared" si="15"/>
        <v>-31</v>
      </c>
    </row>
    <row r="167" spans="1:19" ht="12.75" x14ac:dyDescent="0.2">
      <c r="A167" s="113" t="s">
        <v>410</v>
      </c>
      <c r="B167" s="114">
        <v>44957</v>
      </c>
      <c r="C167" s="113" t="s">
        <v>411</v>
      </c>
      <c r="D167">
        <v>200.48</v>
      </c>
      <c r="E167">
        <v>29</v>
      </c>
      <c r="K167" s="2"/>
      <c r="L167" s="15">
        <f t="shared" si="16"/>
        <v>44957</v>
      </c>
      <c r="N167" s="185">
        <f t="shared" si="17"/>
        <v>44963</v>
      </c>
      <c r="O167" s="114">
        <v>44963</v>
      </c>
      <c r="P167" s="10">
        <f t="shared" si="12"/>
        <v>-6</v>
      </c>
      <c r="Q167" s="10">
        <f t="shared" si="13"/>
        <v>0</v>
      </c>
      <c r="R167" s="10">
        <f t="shared" si="14"/>
        <v>-6</v>
      </c>
      <c r="S167" s="10">
        <f t="shared" si="15"/>
        <v>-36</v>
      </c>
    </row>
    <row r="168" spans="1:19" ht="12.75" x14ac:dyDescent="0.2">
      <c r="A168" s="113" t="s">
        <v>412</v>
      </c>
      <c r="B168" s="114">
        <v>44945</v>
      </c>
      <c r="C168" s="113" t="s">
        <v>413</v>
      </c>
      <c r="D168">
        <v>55.27</v>
      </c>
      <c r="E168">
        <v>29</v>
      </c>
      <c r="K168" s="2"/>
      <c r="L168" s="15">
        <f t="shared" si="16"/>
        <v>44945</v>
      </c>
      <c r="N168" s="185">
        <f t="shared" si="17"/>
        <v>44953</v>
      </c>
      <c r="O168" s="114">
        <v>44953</v>
      </c>
      <c r="P168" s="10">
        <f t="shared" si="12"/>
        <v>-8</v>
      </c>
      <c r="Q168" s="10">
        <f t="shared" si="13"/>
        <v>0</v>
      </c>
      <c r="R168" s="10">
        <f t="shared" si="14"/>
        <v>-8</v>
      </c>
      <c r="S168" s="10">
        <f t="shared" si="15"/>
        <v>-38</v>
      </c>
    </row>
    <row r="169" spans="1:19" ht="12.75" x14ac:dyDescent="0.2">
      <c r="A169" s="113" t="s">
        <v>414</v>
      </c>
      <c r="B169" s="114">
        <v>44957</v>
      </c>
      <c r="C169" s="113" t="s">
        <v>415</v>
      </c>
      <c r="D169">
        <v>85</v>
      </c>
      <c r="E169">
        <v>29</v>
      </c>
      <c r="K169" s="2"/>
      <c r="L169" s="15">
        <f t="shared" si="16"/>
        <v>44957</v>
      </c>
      <c r="N169" s="185">
        <f t="shared" si="17"/>
        <v>44964</v>
      </c>
      <c r="O169" s="114">
        <v>44964</v>
      </c>
      <c r="P169" s="10">
        <f t="shared" si="12"/>
        <v>-7</v>
      </c>
      <c r="Q169" s="10">
        <f t="shared" si="13"/>
        <v>0</v>
      </c>
      <c r="R169" s="10">
        <f t="shared" si="14"/>
        <v>-7</v>
      </c>
      <c r="S169" s="10">
        <f t="shared" si="15"/>
        <v>-37</v>
      </c>
    </row>
    <row r="170" spans="1:19" ht="12.75" x14ac:dyDescent="0.2">
      <c r="A170" s="113" t="s">
        <v>416</v>
      </c>
      <c r="B170" s="114">
        <v>44988</v>
      </c>
      <c r="C170" s="113" t="s">
        <v>417</v>
      </c>
      <c r="D170">
        <v>643.72</v>
      </c>
      <c r="E170">
        <v>29</v>
      </c>
      <c r="K170" s="2"/>
      <c r="L170" s="15">
        <f t="shared" si="16"/>
        <v>44988</v>
      </c>
      <c r="N170" s="185">
        <f t="shared" si="17"/>
        <v>45000</v>
      </c>
      <c r="O170" s="114">
        <v>45000</v>
      </c>
      <c r="P170" s="10">
        <f t="shared" si="12"/>
        <v>-12</v>
      </c>
      <c r="Q170" s="10">
        <f t="shared" si="13"/>
        <v>0</v>
      </c>
      <c r="R170" s="10">
        <f t="shared" si="14"/>
        <v>-12</v>
      </c>
      <c r="S170" s="10">
        <f t="shared" si="15"/>
        <v>-42</v>
      </c>
    </row>
    <row r="171" spans="1:19" ht="12.75" x14ac:dyDescent="0.2">
      <c r="A171" s="113" t="s">
        <v>418</v>
      </c>
      <c r="B171" s="114">
        <v>44957</v>
      </c>
      <c r="C171" s="113" t="s">
        <v>419</v>
      </c>
      <c r="D171">
        <v>37.729999999999997</v>
      </c>
      <c r="E171">
        <v>29</v>
      </c>
      <c r="K171" s="2"/>
      <c r="L171" s="15">
        <f t="shared" si="16"/>
        <v>44957</v>
      </c>
      <c r="N171" s="185">
        <f t="shared" si="17"/>
        <v>44985</v>
      </c>
      <c r="O171" s="114">
        <v>44985</v>
      </c>
      <c r="P171" s="10">
        <f t="shared" si="12"/>
        <v>-28</v>
      </c>
      <c r="Q171" s="10">
        <f t="shared" si="13"/>
        <v>0</v>
      </c>
      <c r="R171" s="10">
        <f t="shared" si="14"/>
        <v>-28</v>
      </c>
      <c r="S171" s="10">
        <f t="shared" si="15"/>
        <v>-58</v>
      </c>
    </row>
    <row r="172" spans="1:19" ht="12.75" x14ac:dyDescent="0.2">
      <c r="A172" s="113" t="s">
        <v>420</v>
      </c>
      <c r="B172" s="114">
        <v>44984</v>
      </c>
      <c r="C172" s="113" t="s">
        <v>421</v>
      </c>
      <c r="D172">
        <v>7867.29</v>
      </c>
      <c r="E172">
        <v>29</v>
      </c>
      <c r="K172" s="2"/>
      <c r="L172" s="15">
        <f t="shared" si="16"/>
        <v>44984</v>
      </c>
      <c r="N172" s="185">
        <f t="shared" si="17"/>
        <v>45000</v>
      </c>
      <c r="O172" s="114">
        <v>45000</v>
      </c>
      <c r="P172" s="10">
        <f t="shared" si="12"/>
        <v>-16</v>
      </c>
      <c r="Q172" s="10">
        <f t="shared" si="13"/>
        <v>0</v>
      </c>
      <c r="R172" s="10">
        <f t="shared" si="14"/>
        <v>-16</v>
      </c>
      <c r="S172" s="10">
        <f t="shared" si="15"/>
        <v>-46</v>
      </c>
    </row>
    <row r="173" spans="1:19" ht="12.75" x14ac:dyDescent="0.2">
      <c r="A173" s="113" t="s">
        <v>422</v>
      </c>
      <c r="B173" s="114">
        <v>44967</v>
      </c>
      <c r="C173" s="113" t="s">
        <v>423</v>
      </c>
      <c r="D173">
        <v>307.45</v>
      </c>
      <c r="E173">
        <v>29</v>
      </c>
      <c r="K173" s="2"/>
      <c r="L173" s="15">
        <f t="shared" si="16"/>
        <v>44967</v>
      </c>
      <c r="N173" s="185">
        <f t="shared" si="17"/>
        <v>45014</v>
      </c>
      <c r="O173" s="114">
        <v>45014</v>
      </c>
      <c r="P173" s="10">
        <f t="shared" si="12"/>
        <v>-47</v>
      </c>
      <c r="Q173" s="10">
        <f t="shared" si="13"/>
        <v>0</v>
      </c>
      <c r="R173" s="10">
        <f t="shared" si="14"/>
        <v>-47</v>
      </c>
      <c r="S173" s="10">
        <f t="shared" si="15"/>
        <v>-77</v>
      </c>
    </row>
    <row r="174" spans="1:19" ht="12.75" x14ac:dyDescent="0.2">
      <c r="A174" s="113" t="s">
        <v>424</v>
      </c>
      <c r="B174" s="114">
        <v>44967</v>
      </c>
      <c r="C174" s="113" t="s">
        <v>425</v>
      </c>
      <c r="D174">
        <v>84.85</v>
      </c>
      <c r="E174">
        <v>29</v>
      </c>
      <c r="K174" s="2"/>
      <c r="L174" s="15">
        <f t="shared" si="16"/>
        <v>44967</v>
      </c>
      <c r="N174" s="185">
        <f t="shared" si="17"/>
        <v>45014</v>
      </c>
      <c r="O174" s="114">
        <v>45014</v>
      </c>
      <c r="P174" s="10">
        <f t="shared" si="12"/>
        <v>-47</v>
      </c>
      <c r="Q174" s="10">
        <f t="shared" si="13"/>
        <v>0</v>
      </c>
      <c r="R174" s="10">
        <f t="shared" si="14"/>
        <v>-47</v>
      </c>
      <c r="S174" s="10">
        <f t="shared" si="15"/>
        <v>-77</v>
      </c>
    </row>
    <row r="175" spans="1:19" ht="12.75" x14ac:dyDescent="0.2">
      <c r="A175" s="113" t="s">
        <v>426</v>
      </c>
      <c r="B175" s="114">
        <v>44998</v>
      </c>
      <c r="C175" s="113" t="s">
        <v>427</v>
      </c>
      <c r="D175">
        <v>43.63</v>
      </c>
      <c r="E175">
        <v>29</v>
      </c>
      <c r="K175" s="2"/>
      <c r="L175" s="15">
        <f t="shared" si="16"/>
        <v>44998</v>
      </c>
      <c r="N175" s="185">
        <f t="shared" si="17"/>
        <v>44998</v>
      </c>
      <c r="O175" s="114">
        <v>44998</v>
      </c>
      <c r="P175" s="10">
        <f t="shared" si="12"/>
        <v>0</v>
      </c>
      <c r="Q175" s="10">
        <f t="shared" si="13"/>
        <v>0</v>
      </c>
      <c r="R175" s="10">
        <f t="shared" si="14"/>
        <v>0</v>
      </c>
      <c r="S175" s="10">
        <f t="shared" si="15"/>
        <v>-30</v>
      </c>
    </row>
    <row r="176" spans="1:19" ht="12.75" x14ac:dyDescent="0.2">
      <c r="A176" s="113" t="s">
        <v>428</v>
      </c>
      <c r="B176" s="114">
        <v>45008</v>
      </c>
      <c r="C176" s="113" t="s">
        <v>429</v>
      </c>
      <c r="D176">
        <v>4.9800000000000004</v>
      </c>
      <c r="E176">
        <v>29</v>
      </c>
      <c r="K176" s="2"/>
      <c r="L176" s="15">
        <f t="shared" si="16"/>
        <v>45008</v>
      </c>
      <c r="N176" s="185">
        <f t="shared" si="17"/>
        <v>44998</v>
      </c>
      <c r="O176" s="114">
        <v>44998</v>
      </c>
      <c r="P176" s="10">
        <f t="shared" si="12"/>
        <v>10</v>
      </c>
      <c r="Q176" s="10">
        <f t="shared" si="13"/>
        <v>0</v>
      </c>
      <c r="R176" s="10">
        <f t="shared" si="14"/>
        <v>10</v>
      </c>
      <c r="S176" s="10">
        <f t="shared" si="15"/>
        <v>-20</v>
      </c>
    </row>
    <row r="177" spans="1:19" ht="12.75" x14ac:dyDescent="0.2">
      <c r="A177" s="113" t="s">
        <v>430</v>
      </c>
      <c r="B177" s="114">
        <v>44974</v>
      </c>
      <c r="C177" s="113" t="s">
        <v>431</v>
      </c>
      <c r="D177">
        <v>23.02</v>
      </c>
      <c r="E177">
        <v>29</v>
      </c>
      <c r="K177" s="2"/>
      <c r="L177" s="15">
        <f t="shared" si="16"/>
        <v>44974</v>
      </c>
      <c r="N177" s="185">
        <f t="shared" si="17"/>
        <v>44992</v>
      </c>
      <c r="O177" s="114">
        <v>44992</v>
      </c>
      <c r="P177" s="10">
        <f t="shared" si="12"/>
        <v>-18</v>
      </c>
      <c r="Q177" s="10">
        <f t="shared" si="13"/>
        <v>0</v>
      </c>
      <c r="R177" s="10">
        <f t="shared" si="14"/>
        <v>-18</v>
      </c>
      <c r="S177" s="10">
        <f t="shared" si="15"/>
        <v>-48</v>
      </c>
    </row>
    <row r="178" spans="1:19" ht="12.75" x14ac:dyDescent="0.2">
      <c r="A178" s="113" t="s">
        <v>432</v>
      </c>
      <c r="B178" s="114">
        <v>44972</v>
      </c>
      <c r="C178" s="113" t="s">
        <v>433</v>
      </c>
      <c r="D178">
        <v>12.65</v>
      </c>
      <c r="E178">
        <v>29</v>
      </c>
      <c r="K178" s="2"/>
      <c r="L178" s="15">
        <f t="shared" si="16"/>
        <v>44972</v>
      </c>
      <c r="N178" s="185">
        <f t="shared" si="17"/>
        <v>44980</v>
      </c>
      <c r="O178" s="114">
        <v>44980</v>
      </c>
      <c r="P178" s="10">
        <f t="shared" si="12"/>
        <v>-8</v>
      </c>
      <c r="Q178" s="10">
        <f t="shared" si="13"/>
        <v>0</v>
      </c>
      <c r="R178" s="10">
        <f t="shared" si="14"/>
        <v>-8</v>
      </c>
      <c r="S178" s="10">
        <f t="shared" si="15"/>
        <v>-38</v>
      </c>
    </row>
    <row r="179" spans="1:19" ht="12.75" x14ac:dyDescent="0.2">
      <c r="A179" s="113" t="s">
        <v>434</v>
      </c>
      <c r="B179" s="114">
        <v>44957</v>
      </c>
      <c r="C179" s="113" t="s">
        <v>435</v>
      </c>
      <c r="D179">
        <v>18.100000000000001</v>
      </c>
      <c r="E179">
        <v>29</v>
      </c>
      <c r="K179" s="2"/>
      <c r="L179" s="15">
        <f t="shared" si="16"/>
        <v>44957</v>
      </c>
      <c r="N179" s="185">
        <f t="shared" si="17"/>
        <v>44977</v>
      </c>
      <c r="O179" s="114">
        <v>44977</v>
      </c>
      <c r="P179" s="10">
        <f t="shared" si="12"/>
        <v>-20</v>
      </c>
      <c r="Q179" s="10">
        <f t="shared" si="13"/>
        <v>0</v>
      </c>
      <c r="R179" s="10">
        <f t="shared" si="14"/>
        <v>-20</v>
      </c>
      <c r="S179" s="10">
        <f t="shared" si="15"/>
        <v>-50</v>
      </c>
    </row>
    <row r="180" spans="1:19" ht="12.75" x14ac:dyDescent="0.2">
      <c r="A180" s="113" t="s">
        <v>436</v>
      </c>
      <c r="B180" s="114">
        <v>44956</v>
      </c>
      <c r="C180" s="113" t="s">
        <v>437</v>
      </c>
      <c r="D180">
        <v>9.6999999999999993</v>
      </c>
      <c r="E180">
        <v>29</v>
      </c>
      <c r="K180" s="2"/>
      <c r="L180" s="15">
        <f t="shared" si="16"/>
        <v>44956</v>
      </c>
      <c r="N180" s="185">
        <f t="shared" si="17"/>
        <v>44974</v>
      </c>
      <c r="O180" s="114">
        <v>44974</v>
      </c>
      <c r="P180" s="10">
        <f t="shared" si="12"/>
        <v>-18</v>
      </c>
      <c r="Q180" s="10">
        <f t="shared" si="13"/>
        <v>0</v>
      </c>
      <c r="R180" s="10">
        <f t="shared" si="14"/>
        <v>-18</v>
      </c>
      <c r="S180" s="10">
        <f t="shared" si="15"/>
        <v>-48</v>
      </c>
    </row>
    <row r="181" spans="1:19" ht="12.75" x14ac:dyDescent="0.2">
      <c r="A181" s="113" t="s">
        <v>438</v>
      </c>
      <c r="B181" s="114">
        <v>44956</v>
      </c>
      <c r="C181" s="113" t="s">
        <v>439</v>
      </c>
      <c r="D181">
        <v>450.7</v>
      </c>
      <c r="E181">
        <v>29</v>
      </c>
      <c r="K181" s="2"/>
      <c r="L181" s="15">
        <f t="shared" si="16"/>
        <v>44956</v>
      </c>
      <c r="N181" s="185">
        <f t="shared" si="17"/>
        <v>44974</v>
      </c>
      <c r="O181" s="114">
        <v>44974</v>
      </c>
      <c r="P181" s="10">
        <f t="shared" si="12"/>
        <v>-18</v>
      </c>
      <c r="Q181" s="10">
        <f t="shared" si="13"/>
        <v>0</v>
      </c>
      <c r="R181" s="10">
        <f t="shared" si="14"/>
        <v>-18</v>
      </c>
      <c r="S181" s="10">
        <f t="shared" si="15"/>
        <v>-48</v>
      </c>
    </row>
    <row r="182" spans="1:19" ht="12.75" x14ac:dyDescent="0.2">
      <c r="A182" s="113" t="s">
        <v>440</v>
      </c>
      <c r="B182" s="114">
        <v>44956</v>
      </c>
      <c r="C182" s="113" t="s">
        <v>441</v>
      </c>
      <c r="D182">
        <v>739.59</v>
      </c>
      <c r="E182">
        <v>29</v>
      </c>
      <c r="K182" s="2"/>
      <c r="L182" s="15">
        <f t="shared" si="16"/>
        <v>44956</v>
      </c>
      <c r="N182" s="185">
        <f t="shared" si="17"/>
        <v>44974</v>
      </c>
      <c r="O182" s="114">
        <v>44974</v>
      </c>
      <c r="P182" s="10">
        <f t="shared" si="12"/>
        <v>-18</v>
      </c>
      <c r="Q182" s="10">
        <f t="shared" si="13"/>
        <v>0</v>
      </c>
      <c r="R182" s="10">
        <f t="shared" si="14"/>
        <v>-18</v>
      </c>
      <c r="S182" s="10">
        <f t="shared" si="15"/>
        <v>-48</v>
      </c>
    </row>
    <row r="183" spans="1:19" ht="12.75" x14ac:dyDescent="0.2">
      <c r="A183" s="113" t="s">
        <v>442</v>
      </c>
      <c r="B183" s="114">
        <v>44927</v>
      </c>
      <c r="C183" s="113" t="s">
        <v>443</v>
      </c>
      <c r="D183">
        <v>51.27</v>
      </c>
      <c r="E183">
        <v>29</v>
      </c>
      <c r="K183" s="2"/>
      <c r="L183" s="15">
        <f t="shared" si="16"/>
        <v>44927</v>
      </c>
      <c r="N183" s="185">
        <f t="shared" si="17"/>
        <v>44946</v>
      </c>
      <c r="O183" s="114">
        <v>44946</v>
      </c>
      <c r="P183" s="10">
        <f t="shared" si="12"/>
        <v>-19</v>
      </c>
      <c r="Q183" s="10">
        <f t="shared" si="13"/>
        <v>0</v>
      </c>
      <c r="R183" s="10">
        <f t="shared" si="14"/>
        <v>-19</v>
      </c>
      <c r="S183" s="10">
        <f t="shared" si="15"/>
        <v>-49</v>
      </c>
    </row>
    <row r="184" spans="1:19" ht="12.75" x14ac:dyDescent="0.2">
      <c r="A184" s="113" t="s">
        <v>444</v>
      </c>
      <c r="B184" s="114">
        <v>44995</v>
      </c>
      <c r="C184" s="113" t="s">
        <v>445</v>
      </c>
      <c r="D184">
        <v>1000</v>
      </c>
      <c r="E184">
        <v>29</v>
      </c>
      <c r="K184" s="2"/>
      <c r="L184" s="15">
        <f t="shared" si="16"/>
        <v>44995</v>
      </c>
      <c r="N184" s="185">
        <f t="shared" si="17"/>
        <v>45015</v>
      </c>
      <c r="O184" s="114">
        <v>45015</v>
      </c>
      <c r="P184" s="10">
        <f t="shared" si="12"/>
        <v>-20</v>
      </c>
      <c r="Q184" s="10">
        <f t="shared" si="13"/>
        <v>0</v>
      </c>
      <c r="R184" s="10">
        <f t="shared" si="14"/>
        <v>-20</v>
      </c>
      <c r="S184" s="10">
        <f t="shared" si="15"/>
        <v>-50</v>
      </c>
    </row>
    <row r="185" spans="1:19" ht="12.75" x14ac:dyDescent="0.2">
      <c r="A185" s="113" t="s">
        <v>446</v>
      </c>
      <c r="B185" s="114">
        <v>44981</v>
      </c>
      <c r="C185" s="113" t="s">
        <v>447</v>
      </c>
      <c r="D185">
        <v>1000</v>
      </c>
      <c r="E185">
        <v>29</v>
      </c>
      <c r="K185" s="2"/>
      <c r="L185" s="15">
        <f t="shared" si="16"/>
        <v>44981</v>
      </c>
      <c r="N185" s="185">
        <f t="shared" si="17"/>
        <v>45014</v>
      </c>
      <c r="O185" s="114">
        <v>45014</v>
      </c>
      <c r="P185" s="10">
        <f t="shared" si="12"/>
        <v>-33</v>
      </c>
      <c r="Q185" s="10">
        <f t="shared" si="13"/>
        <v>0</v>
      </c>
      <c r="R185" s="10">
        <f t="shared" si="14"/>
        <v>-33</v>
      </c>
      <c r="S185" s="10">
        <f t="shared" si="15"/>
        <v>-63</v>
      </c>
    </row>
    <row r="186" spans="1:19" ht="12.75" x14ac:dyDescent="0.2">
      <c r="A186" s="113" t="s">
        <v>448</v>
      </c>
      <c r="B186" s="114">
        <v>44981</v>
      </c>
      <c r="C186" s="113" t="s">
        <v>449</v>
      </c>
      <c r="D186">
        <v>121.22</v>
      </c>
      <c r="E186">
        <v>29</v>
      </c>
      <c r="K186" s="2"/>
      <c r="L186" s="15">
        <f t="shared" si="16"/>
        <v>44981</v>
      </c>
      <c r="N186" s="185">
        <f t="shared" si="17"/>
        <v>45014</v>
      </c>
      <c r="O186" s="114">
        <v>45014</v>
      </c>
      <c r="P186" s="10">
        <f t="shared" si="12"/>
        <v>-33</v>
      </c>
      <c r="Q186" s="10">
        <f t="shared" si="13"/>
        <v>0</v>
      </c>
      <c r="R186" s="10">
        <f t="shared" si="14"/>
        <v>-33</v>
      </c>
      <c r="S186" s="10">
        <f t="shared" si="15"/>
        <v>-63</v>
      </c>
    </row>
    <row r="187" spans="1:19" ht="12.75" x14ac:dyDescent="0.2">
      <c r="A187" s="113" t="s">
        <v>450</v>
      </c>
      <c r="B187" s="114">
        <v>44981</v>
      </c>
      <c r="C187" s="113" t="s">
        <v>451</v>
      </c>
      <c r="D187">
        <v>121.22</v>
      </c>
      <c r="E187">
        <v>29</v>
      </c>
      <c r="K187" s="2"/>
      <c r="L187" s="15">
        <f t="shared" si="16"/>
        <v>44981</v>
      </c>
      <c r="N187" s="185">
        <f t="shared" si="17"/>
        <v>45014</v>
      </c>
      <c r="O187" s="114">
        <v>45014</v>
      </c>
      <c r="P187" s="10">
        <f t="shared" si="12"/>
        <v>-33</v>
      </c>
      <c r="Q187" s="10">
        <f t="shared" si="13"/>
        <v>0</v>
      </c>
      <c r="R187" s="10">
        <f t="shared" si="14"/>
        <v>-33</v>
      </c>
      <c r="S187" s="10">
        <f t="shared" si="15"/>
        <v>-63</v>
      </c>
    </row>
    <row r="188" spans="1:19" ht="12.75" x14ac:dyDescent="0.2">
      <c r="A188" s="113" t="s">
        <v>452</v>
      </c>
      <c r="B188" s="114">
        <v>44985</v>
      </c>
      <c r="C188" s="113" t="s">
        <v>453</v>
      </c>
      <c r="D188">
        <v>145.19999999999999</v>
      </c>
      <c r="E188">
        <v>29</v>
      </c>
      <c r="K188" s="2"/>
      <c r="L188" s="15">
        <f t="shared" si="16"/>
        <v>44985</v>
      </c>
      <c r="N188" s="185">
        <f t="shared" si="17"/>
        <v>45015</v>
      </c>
      <c r="O188" s="114">
        <v>45015</v>
      </c>
      <c r="P188" s="10">
        <f t="shared" si="12"/>
        <v>-30</v>
      </c>
      <c r="Q188" s="10">
        <f t="shared" si="13"/>
        <v>0</v>
      </c>
      <c r="R188" s="10">
        <f t="shared" si="14"/>
        <v>-30</v>
      </c>
      <c r="S188" s="10">
        <f t="shared" si="15"/>
        <v>-60</v>
      </c>
    </row>
    <row r="189" spans="1:19" ht="12.75" x14ac:dyDescent="0.2">
      <c r="A189" s="113" t="s">
        <v>454</v>
      </c>
      <c r="B189" s="114">
        <v>45002</v>
      </c>
      <c r="C189" s="113" t="s">
        <v>455</v>
      </c>
      <c r="D189">
        <v>450</v>
      </c>
      <c r="E189">
        <v>29</v>
      </c>
      <c r="K189" s="2"/>
      <c r="L189" s="15">
        <f t="shared" si="16"/>
        <v>45002</v>
      </c>
      <c r="N189" s="185">
        <f t="shared" si="17"/>
        <v>45015</v>
      </c>
      <c r="O189" s="114">
        <v>45015</v>
      </c>
      <c r="P189" s="10">
        <f t="shared" si="12"/>
        <v>-13</v>
      </c>
      <c r="Q189" s="10">
        <f t="shared" si="13"/>
        <v>0</v>
      </c>
      <c r="R189" s="10">
        <f t="shared" si="14"/>
        <v>-13</v>
      </c>
      <c r="S189" s="10">
        <f t="shared" si="15"/>
        <v>-43</v>
      </c>
    </row>
    <row r="190" spans="1:19" ht="12.75" x14ac:dyDescent="0.2">
      <c r="A190" s="113" t="s">
        <v>456</v>
      </c>
      <c r="B190" s="114">
        <v>44927</v>
      </c>
      <c r="C190" s="113" t="s">
        <v>457</v>
      </c>
      <c r="D190">
        <v>922.68</v>
      </c>
      <c r="E190">
        <v>29</v>
      </c>
      <c r="K190" s="2"/>
      <c r="L190" s="15">
        <f t="shared" si="16"/>
        <v>44927</v>
      </c>
      <c r="N190" s="185">
        <f t="shared" si="17"/>
        <v>44974</v>
      </c>
      <c r="O190" s="114">
        <v>44974</v>
      </c>
      <c r="P190" s="10">
        <f t="shared" si="12"/>
        <v>-47</v>
      </c>
      <c r="Q190" s="10">
        <f t="shared" si="13"/>
        <v>0</v>
      </c>
      <c r="R190" s="10">
        <f t="shared" si="14"/>
        <v>-47</v>
      </c>
      <c r="S190" s="10">
        <f t="shared" si="15"/>
        <v>-77</v>
      </c>
    </row>
    <row r="191" spans="1:19" ht="12.75" x14ac:dyDescent="0.2">
      <c r="A191" s="113" t="s">
        <v>458</v>
      </c>
      <c r="B191" s="114">
        <v>44956</v>
      </c>
      <c r="C191" s="113" t="s">
        <v>459</v>
      </c>
      <c r="D191">
        <v>895.62</v>
      </c>
      <c r="E191">
        <v>29</v>
      </c>
      <c r="K191" s="2"/>
      <c r="L191" s="15">
        <f t="shared" si="16"/>
        <v>44956</v>
      </c>
      <c r="N191" s="185">
        <f t="shared" si="17"/>
        <v>45002</v>
      </c>
      <c r="O191" s="114">
        <v>45002</v>
      </c>
      <c r="P191" s="10">
        <f t="shared" si="12"/>
        <v>-46</v>
      </c>
      <c r="Q191" s="10">
        <f t="shared" si="13"/>
        <v>0</v>
      </c>
      <c r="R191" s="10">
        <f t="shared" si="14"/>
        <v>-46</v>
      </c>
      <c r="S191" s="10">
        <f t="shared" si="15"/>
        <v>-76</v>
      </c>
    </row>
    <row r="192" spans="1:19" ht="12.75" x14ac:dyDescent="0.2">
      <c r="A192" s="113" t="s">
        <v>460</v>
      </c>
      <c r="B192" s="114">
        <v>45001</v>
      </c>
      <c r="C192" s="113" t="s">
        <v>461</v>
      </c>
      <c r="D192">
        <v>1851.3</v>
      </c>
      <c r="E192">
        <v>29</v>
      </c>
      <c r="K192" s="2"/>
      <c r="L192" s="15">
        <f t="shared" si="16"/>
        <v>45001</v>
      </c>
      <c r="N192" s="185">
        <f t="shared" si="17"/>
        <v>45015</v>
      </c>
      <c r="O192" s="114">
        <v>45015</v>
      </c>
      <c r="P192" s="10">
        <f t="shared" si="12"/>
        <v>-14</v>
      </c>
      <c r="Q192" s="10">
        <f t="shared" si="13"/>
        <v>0</v>
      </c>
      <c r="R192" s="10">
        <f t="shared" si="14"/>
        <v>-14</v>
      </c>
      <c r="S192" s="10">
        <f t="shared" si="15"/>
        <v>-44</v>
      </c>
    </row>
    <row r="193" spans="1:19" ht="12.75" x14ac:dyDescent="0.2">
      <c r="A193" s="113" t="s">
        <v>462</v>
      </c>
      <c r="B193" s="114">
        <v>45002</v>
      </c>
      <c r="C193" s="113" t="s">
        <v>463</v>
      </c>
      <c r="D193">
        <v>1016.4</v>
      </c>
      <c r="E193">
        <v>29</v>
      </c>
      <c r="K193" s="2"/>
      <c r="L193" s="15">
        <f t="shared" si="16"/>
        <v>45002</v>
      </c>
      <c r="N193" s="185">
        <f t="shared" si="17"/>
        <v>45015</v>
      </c>
      <c r="O193" s="114">
        <v>45015</v>
      </c>
      <c r="P193" s="10">
        <f t="shared" si="12"/>
        <v>-13</v>
      </c>
      <c r="Q193" s="10">
        <f t="shared" si="13"/>
        <v>0</v>
      </c>
      <c r="R193" s="10">
        <f t="shared" si="14"/>
        <v>-13</v>
      </c>
      <c r="S193" s="10">
        <f t="shared" si="15"/>
        <v>-43</v>
      </c>
    </row>
    <row r="194" spans="1:19" ht="12.75" x14ac:dyDescent="0.2">
      <c r="A194" s="113" t="s">
        <v>464</v>
      </c>
      <c r="B194" s="114">
        <v>44966</v>
      </c>
      <c r="C194" s="113" t="s">
        <v>465</v>
      </c>
      <c r="D194">
        <v>2244</v>
      </c>
      <c r="E194">
        <v>29</v>
      </c>
      <c r="K194" s="2"/>
      <c r="L194" s="15">
        <f t="shared" si="16"/>
        <v>44966</v>
      </c>
      <c r="N194" s="185">
        <f t="shared" si="17"/>
        <v>45015</v>
      </c>
      <c r="O194" s="114">
        <v>45015</v>
      </c>
      <c r="P194" s="10">
        <f t="shared" si="12"/>
        <v>-49</v>
      </c>
      <c r="Q194" s="10">
        <f t="shared" si="13"/>
        <v>0</v>
      </c>
      <c r="R194" s="10">
        <f t="shared" si="14"/>
        <v>-49</v>
      </c>
      <c r="S194" s="10">
        <f t="shared" si="15"/>
        <v>-79</v>
      </c>
    </row>
    <row r="195" spans="1:19" ht="12.75" x14ac:dyDescent="0.2">
      <c r="A195" s="113" t="s">
        <v>466</v>
      </c>
      <c r="B195" s="114">
        <v>44957</v>
      </c>
      <c r="C195" s="113" t="s">
        <v>467</v>
      </c>
      <c r="D195">
        <v>4585.2700000000004</v>
      </c>
      <c r="E195">
        <v>29</v>
      </c>
      <c r="K195" s="2"/>
      <c r="L195" s="15">
        <f t="shared" si="16"/>
        <v>44957</v>
      </c>
      <c r="N195" s="185">
        <f t="shared" si="17"/>
        <v>44985</v>
      </c>
      <c r="O195" s="114">
        <v>44985</v>
      </c>
      <c r="P195" s="10">
        <f t="shared" si="12"/>
        <v>-28</v>
      </c>
      <c r="Q195" s="10">
        <f t="shared" si="13"/>
        <v>0</v>
      </c>
      <c r="R195" s="10">
        <f t="shared" si="14"/>
        <v>-28</v>
      </c>
      <c r="S195" s="10">
        <f t="shared" si="15"/>
        <v>-58</v>
      </c>
    </row>
    <row r="196" spans="1:19" ht="12.75" x14ac:dyDescent="0.2">
      <c r="A196" s="113" t="s">
        <v>468</v>
      </c>
      <c r="B196" s="114">
        <v>44985</v>
      </c>
      <c r="C196" s="113" t="s">
        <v>469</v>
      </c>
      <c r="D196">
        <v>781.1</v>
      </c>
      <c r="E196">
        <v>29</v>
      </c>
      <c r="K196" s="2"/>
      <c r="L196" s="15">
        <f t="shared" si="16"/>
        <v>44985</v>
      </c>
      <c r="N196" s="185">
        <f t="shared" si="17"/>
        <v>45016</v>
      </c>
      <c r="O196" s="114">
        <v>45016</v>
      </c>
      <c r="P196" s="10">
        <f t="shared" si="12"/>
        <v>-31</v>
      </c>
      <c r="Q196" s="10">
        <f t="shared" si="13"/>
        <v>0</v>
      </c>
      <c r="R196" s="10">
        <f t="shared" si="14"/>
        <v>-31</v>
      </c>
      <c r="S196" s="10">
        <f t="shared" si="15"/>
        <v>-61</v>
      </c>
    </row>
    <row r="197" spans="1:19" ht="12.75" x14ac:dyDescent="0.2">
      <c r="A197" s="113" t="s">
        <v>470</v>
      </c>
      <c r="B197" s="114">
        <v>45013</v>
      </c>
      <c r="C197" s="113" t="s">
        <v>471</v>
      </c>
      <c r="D197">
        <v>5250</v>
      </c>
      <c r="E197">
        <v>29</v>
      </c>
      <c r="K197" s="2"/>
      <c r="L197" s="15">
        <f t="shared" si="16"/>
        <v>45013</v>
      </c>
      <c r="N197" s="185">
        <f t="shared" si="17"/>
        <v>45015</v>
      </c>
      <c r="O197" s="114">
        <v>45015</v>
      </c>
      <c r="P197" s="10">
        <f t="shared" si="12"/>
        <v>-2</v>
      </c>
      <c r="Q197" s="10">
        <f t="shared" si="13"/>
        <v>0</v>
      </c>
      <c r="R197" s="10">
        <f t="shared" si="14"/>
        <v>-2</v>
      </c>
      <c r="S197" s="10">
        <f t="shared" si="15"/>
        <v>-32</v>
      </c>
    </row>
    <row r="198" spans="1:19" ht="12.75" x14ac:dyDescent="0.2">
      <c r="A198" s="113" t="s">
        <v>472</v>
      </c>
      <c r="B198" s="114">
        <v>44999</v>
      </c>
      <c r="C198" s="113" t="s">
        <v>473</v>
      </c>
      <c r="D198">
        <v>254.1</v>
      </c>
      <c r="E198">
        <v>29</v>
      </c>
      <c r="K198" s="2"/>
      <c r="L198" s="15">
        <f t="shared" si="16"/>
        <v>44999</v>
      </c>
      <c r="N198" s="185">
        <f t="shared" si="17"/>
        <v>45015</v>
      </c>
      <c r="O198" s="114">
        <v>45015</v>
      </c>
      <c r="P198" s="10">
        <f t="shared" si="12"/>
        <v>-16</v>
      </c>
      <c r="Q198" s="10">
        <f t="shared" si="13"/>
        <v>0</v>
      </c>
      <c r="R198" s="10">
        <f t="shared" si="14"/>
        <v>-16</v>
      </c>
      <c r="S198" s="10">
        <f t="shared" si="15"/>
        <v>-46</v>
      </c>
    </row>
    <row r="199" spans="1:19" ht="12.75" x14ac:dyDescent="0.2">
      <c r="A199" s="113" t="s">
        <v>474</v>
      </c>
      <c r="B199" s="114">
        <v>45016</v>
      </c>
      <c r="C199" s="113" t="s">
        <v>475</v>
      </c>
      <c r="D199">
        <v>1108.17</v>
      </c>
      <c r="E199">
        <v>29</v>
      </c>
      <c r="K199" s="2"/>
      <c r="L199" s="15">
        <f t="shared" si="16"/>
        <v>45016</v>
      </c>
      <c r="N199" s="185">
        <f t="shared" si="17"/>
        <v>45016</v>
      </c>
      <c r="O199" s="114">
        <v>45016</v>
      </c>
      <c r="P199" s="10">
        <f t="shared" ref="P199:P223" si="18">+L199-N199</f>
        <v>0</v>
      </c>
      <c r="Q199" s="10">
        <f t="shared" ref="Q199:Q223" si="19">+N199-O199</f>
        <v>0</v>
      </c>
      <c r="R199" s="10">
        <f t="shared" ref="R199:R234" si="20">+L199-O199</f>
        <v>0</v>
      </c>
      <c r="S199" s="10">
        <f t="shared" ref="S199:S223" si="21">+R199-30</f>
        <v>-30</v>
      </c>
    </row>
    <row r="200" spans="1:19" ht="12.75" x14ac:dyDescent="0.2">
      <c r="A200" s="113" t="s">
        <v>476</v>
      </c>
      <c r="B200" s="114">
        <v>45016</v>
      </c>
      <c r="C200" s="113" t="s">
        <v>477</v>
      </c>
      <c r="D200">
        <v>1464.06</v>
      </c>
      <c r="E200">
        <v>29</v>
      </c>
      <c r="K200" s="2"/>
      <c r="L200" s="15">
        <f t="shared" ref="L200:L223" si="22">+B200</f>
        <v>45016</v>
      </c>
      <c r="N200" s="185">
        <f t="shared" ref="N200:N223" si="23">+O200</f>
        <v>45016</v>
      </c>
      <c r="O200" s="114">
        <v>45016</v>
      </c>
      <c r="P200" s="10">
        <f t="shared" si="18"/>
        <v>0</v>
      </c>
      <c r="Q200" s="10">
        <f t="shared" si="19"/>
        <v>0</v>
      </c>
      <c r="R200" s="10">
        <f t="shared" si="20"/>
        <v>0</v>
      </c>
      <c r="S200" s="10">
        <f t="shared" si="21"/>
        <v>-30</v>
      </c>
    </row>
    <row r="201" spans="1:19" ht="12.75" x14ac:dyDescent="0.2">
      <c r="A201" s="113" t="s">
        <v>478</v>
      </c>
      <c r="B201" s="114">
        <v>45016</v>
      </c>
      <c r="C201" s="113" t="s">
        <v>479</v>
      </c>
      <c r="D201">
        <v>379.94</v>
      </c>
      <c r="E201">
        <v>29</v>
      </c>
      <c r="K201" s="2"/>
      <c r="L201" s="15">
        <f t="shared" si="22"/>
        <v>45016</v>
      </c>
      <c r="N201" s="185">
        <f t="shared" si="23"/>
        <v>45016</v>
      </c>
      <c r="O201" s="114">
        <v>45016</v>
      </c>
      <c r="P201" s="10">
        <f t="shared" si="18"/>
        <v>0</v>
      </c>
      <c r="Q201" s="10">
        <f t="shared" si="19"/>
        <v>0</v>
      </c>
      <c r="R201" s="10">
        <f t="shared" si="20"/>
        <v>0</v>
      </c>
      <c r="S201" s="10">
        <f t="shared" si="21"/>
        <v>-30</v>
      </c>
    </row>
    <row r="202" spans="1:19" ht="12.75" x14ac:dyDescent="0.2">
      <c r="A202" s="113" t="s">
        <v>480</v>
      </c>
      <c r="B202" s="114">
        <v>45008</v>
      </c>
      <c r="C202" s="113" t="s">
        <v>481</v>
      </c>
      <c r="D202">
        <v>1000</v>
      </c>
      <c r="E202">
        <v>29</v>
      </c>
      <c r="K202" s="2"/>
      <c r="L202" s="15">
        <f t="shared" si="22"/>
        <v>45008</v>
      </c>
      <c r="N202" s="185">
        <f t="shared" si="23"/>
        <v>45016</v>
      </c>
      <c r="O202" s="114">
        <v>45016</v>
      </c>
      <c r="P202" s="10">
        <f t="shared" si="18"/>
        <v>-8</v>
      </c>
      <c r="Q202" s="10">
        <f t="shared" si="19"/>
        <v>0</v>
      </c>
      <c r="R202" s="10">
        <f t="shared" si="20"/>
        <v>-8</v>
      </c>
      <c r="S202" s="10">
        <f t="shared" si="21"/>
        <v>-38</v>
      </c>
    </row>
    <row r="203" spans="1:19" ht="12.75" x14ac:dyDescent="0.2">
      <c r="A203" s="113" t="s">
        <v>482</v>
      </c>
      <c r="B203" s="114">
        <v>44936</v>
      </c>
      <c r="C203" s="113" t="s">
        <v>483</v>
      </c>
      <c r="D203">
        <v>16504.400000000001</v>
      </c>
      <c r="E203">
        <v>29</v>
      </c>
      <c r="K203" s="2"/>
      <c r="L203" s="15">
        <f t="shared" si="22"/>
        <v>44936</v>
      </c>
      <c r="N203" s="185">
        <f t="shared" si="23"/>
        <v>44951</v>
      </c>
      <c r="O203" s="114">
        <v>44951</v>
      </c>
      <c r="P203" s="10">
        <f t="shared" si="18"/>
        <v>-15</v>
      </c>
      <c r="Q203" s="10">
        <f t="shared" si="19"/>
        <v>0</v>
      </c>
      <c r="R203" s="10">
        <f t="shared" si="20"/>
        <v>-15</v>
      </c>
      <c r="S203" s="10">
        <f t="shared" si="21"/>
        <v>-45</v>
      </c>
    </row>
    <row r="204" spans="1:19" ht="12.75" x14ac:dyDescent="0.2">
      <c r="A204" s="113" t="s">
        <v>484</v>
      </c>
      <c r="B204" s="114">
        <v>44992</v>
      </c>
      <c r="C204" s="113" t="s">
        <v>485</v>
      </c>
      <c r="D204">
        <v>389.47</v>
      </c>
      <c r="E204">
        <v>29</v>
      </c>
      <c r="K204" s="2"/>
      <c r="L204" s="15">
        <f t="shared" si="22"/>
        <v>44992</v>
      </c>
      <c r="N204" s="185">
        <f t="shared" si="23"/>
        <v>45000</v>
      </c>
      <c r="O204" s="114">
        <v>45000</v>
      </c>
      <c r="P204" s="10">
        <f t="shared" si="18"/>
        <v>-8</v>
      </c>
      <c r="Q204" s="10">
        <f t="shared" si="19"/>
        <v>0</v>
      </c>
      <c r="R204" s="10">
        <f t="shared" si="20"/>
        <v>-8</v>
      </c>
      <c r="S204" s="10">
        <f t="shared" si="21"/>
        <v>-38</v>
      </c>
    </row>
    <row r="205" spans="1:19" ht="12.75" x14ac:dyDescent="0.2">
      <c r="A205" s="113" t="s">
        <v>486</v>
      </c>
      <c r="B205" s="114">
        <v>44927</v>
      </c>
      <c r="C205" s="113" t="s">
        <v>487</v>
      </c>
      <c r="D205">
        <v>4347.53</v>
      </c>
      <c r="E205">
        <v>69</v>
      </c>
      <c r="K205" s="2"/>
      <c r="L205" s="15">
        <f t="shared" si="22"/>
        <v>44927</v>
      </c>
      <c r="N205" s="185">
        <f t="shared" si="23"/>
        <v>44958</v>
      </c>
      <c r="O205" s="114">
        <v>44958</v>
      </c>
      <c r="P205" s="10">
        <f t="shared" si="18"/>
        <v>-31</v>
      </c>
      <c r="Q205" s="10">
        <f t="shared" si="19"/>
        <v>0</v>
      </c>
      <c r="R205" s="10">
        <f t="shared" si="20"/>
        <v>-31</v>
      </c>
      <c r="S205" s="10">
        <f t="shared" si="21"/>
        <v>-61</v>
      </c>
    </row>
    <row r="206" spans="1:19" ht="12.75" x14ac:dyDescent="0.2">
      <c r="A206" s="113" t="s">
        <v>488</v>
      </c>
      <c r="B206" s="114">
        <v>44952</v>
      </c>
      <c r="C206" s="113" t="s">
        <v>489</v>
      </c>
      <c r="D206">
        <v>2413.9499999999998</v>
      </c>
      <c r="E206">
        <v>69</v>
      </c>
      <c r="K206" s="2"/>
      <c r="L206" s="15">
        <f t="shared" si="22"/>
        <v>44952</v>
      </c>
      <c r="N206" s="185">
        <f t="shared" si="23"/>
        <v>44956</v>
      </c>
      <c r="O206" s="114">
        <v>44956</v>
      </c>
      <c r="P206" s="10">
        <f t="shared" si="18"/>
        <v>-4</v>
      </c>
      <c r="Q206" s="10">
        <f t="shared" si="19"/>
        <v>0</v>
      </c>
      <c r="R206" s="10">
        <f t="shared" si="20"/>
        <v>-4</v>
      </c>
      <c r="S206" s="10">
        <f t="shared" si="21"/>
        <v>-34</v>
      </c>
    </row>
    <row r="207" spans="1:19" ht="12.75" x14ac:dyDescent="0.2">
      <c r="A207" s="113" t="s">
        <v>490</v>
      </c>
      <c r="B207" s="114">
        <v>44937</v>
      </c>
      <c r="C207" s="113" t="s">
        <v>255</v>
      </c>
      <c r="D207">
        <v>19723</v>
      </c>
      <c r="E207">
        <v>69</v>
      </c>
      <c r="K207" s="2"/>
      <c r="L207" s="15">
        <f t="shared" si="22"/>
        <v>44937</v>
      </c>
      <c r="N207" s="185">
        <f t="shared" si="23"/>
        <v>44939</v>
      </c>
      <c r="O207" s="114">
        <v>44939</v>
      </c>
      <c r="P207" s="10">
        <f t="shared" si="18"/>
        <v>-2</v>
      </c>
      <c r="Q207" s="10">
        <f t="shared" si="19"/>
        <v>0</v>
      </c>
      <c r="R207" s="10">
        <f t="shared" si="20"/>
        <v>-2</v>
      </c>
      <c r="S207" s="10">
        <f t="shared" si="21"/>
        <v>-32</v>
      </c>
    </row>
    <row r="208" spans="1:19" ht="12.75" x14ac:dyDescent="0.2">
      <c r="A208" s="113" t="s">
        <v>491</v>
      </c>
      <c r="B208" s="114">
        <v>44936</v>
      </c>
      <c r="C208" s="113" t="s">
        <v>492</v>
      </c>
      <c r="D208">
        <v>955.9</v>
      </c>
      <c r="E208">
        <v>69</v>
      </c>
      <c r="K208" s="2"/>
      <c r="L208" s="15">
        <f t="shared" si="22"/>
        <v>44936</v>
      </c>
      <c r="N208" s="185">
        <f t="shared" si="23"/>
        <v>44939</v>
      </c>
      <c r="O208" s="114">
        <v>44939</v>
      </c>
      <c r="P208" s="10">
        <f t="shared" si="18"/>
        <v>-3</v>
      </c>
      <c r="Q208" s="10">
        <f t="shared" si="19"/>
        <v>0</v>
      </c>
      <c r="R208" s="10">
        <f t="shared" si="20"/>
        <v>-3</v>
      </c>
      <c r="S208" s="10">
        <f t="shared" si="21"/>
        <v>-33</v>
      </c>
    </row>
    <row r="209" spans="1:19" ht="12.75" x14ac:dyDescent="0.2">
      <c r="A209" s="113" t="s">
        <v>493</v>
      </c>
      <c r="B209" s="114">
        <v>44970</v>
      </c>
      <c r="C209" s="113" t="s">
        <v>494</v>
      </c>
      <c r="D209">
        <v>1326.16</v>
      </c>
      <c r="E209">
        <v>69</v>
      </c>
      <c r="K209" s="2"/>
      <c r="L209" s="15">
        <f t="shared" si="22"/>
        <v>44970</v>
      </c>
      <c r="N209" s="185">
        <f t="shared" si="23"/>
        <v>44977</v>
      </c>
      <c r="O209" s="114">
        <v>44977</v>
      </c>
      <c r="P209" s="10">
        <f t="shared" si="18"/>
        <v>-7</v>
      </c>
      <c r="Q209" s="10">
        <f t="shared" si="19"/>
        <v>0</v>
      </c>
      <c r="R209" s="10">
        <f t="shared" si="20"/>
        <v>-7</v>
      </c>
      <c r="S209" s="10">
        <f t="shared" si="21"/>
        <v>-37</v>
      </c>
    </row>
    <row r="210" spans="1:19" ht="12.75" x14ac:dyDescent="0.2">
      <c r="A210" s="113" t="s">
        <v>495</v>
      </c>
      <c r="B210" s="114">
        <v>44966</v>
      </c>
      <c r="C210" s="113" t="s">
        <v>496</v>
      </c>
      <c r="D210">
        <v>500</v>
      </c>
      <c r="E210">
        <v>69</v>
      </c>
      <c r="K210" s="2"/>
      <c r="L210" s="15">
        <f t="shared" si="22"/>
        <v>44966</v>
      </c>
      <c r="N210" s="185">
        <f t="shared" si="23"/>
        <v>44977</v>
      </c>
      <c r="O210" s="114">
        <v>44977</v>
      </c>
      <c r="P210" s="10">
        <f t="shared" si="18"/>
        <v>-11</v>
      </c>
      <c r="Q210" s="10">
        <f t="shared" si="19"/>
        <v>0</v>
      </c>
      <c r="R210" s="10">
        <f t="shared" si="20"/>
        <v>-11</v>
      </c>
      <c r="S210" s="10">
        <f t="shared" si="21"/>
        <v>-41</v>
      </c>
    </row>
    <row r="211" spans="1:19" ht="12.75" x14ac:dyDescent="0.2">
      <c r="A211" s="113" t="s">
        <v>497</v>
      </c>
      <c r="B211" s="114">
        <v>44979</v>
      </c>
      <c r="C211" s="113" t="s">
        <v>498</v>
      </c>
      <c r="D211">
        <v>5245.35</v>
      </c>
      <c r="E211">
        <v>69</v>
      </c>
      <c r="K211" s="2"/>
      <c r="L211" s="15">
        <f t="shared" si="22"/>
        <v>44979</v>
      </c>
      <c r="N211" s="185">
        <f t="shared" si="23"/>
        <v>44984</v>
      </c>
      <c r="O211" s="114">
        <v>44984</v>
      </c>
      <c r="P211" s="10">
        <f t="shared" si="18"/>
        <v>-5</v>
      </c>
      <c r="Q211" s="10">
        <f t="shared" si="19"/>
        <v>0</v>
      </c>
      <c r="R211" s="10">
        <f t="shared" si="20"/>
        <v>-5</v>
      </c>
      <c r="S211" s="10">
        <f t="shared" si="21"/>
        <v>-35</v>
      </c>
    </row>
    <row r="212" spans="1:19" ht="12.75" x14ac:dyDescent="0.2">
      <c r="A212" s="113" t="s">
        <v>499</v>
      </c>
      <c r="B212" s="114">
        <v>44977</v>
      </c>
      <c r="C212" s="113" t="s">
        <v>500</v>
      </c>
      <c r="D212">
        <v>701.8</v>
      </c>
      <c r="E212">
        <v>69</v>
      </c>
      <c r="K212" s="2"/>
      <c r="L212" s="15">
        <f t="shared" si="22"/>
        <v>44977</v>
      </c>
      <c r="N212" s="185">
        <f t="shared" si="23"/>
        <v>45000</v>
      </c>
      <c r="O212" s="114">
        <v>45000</v>
      </c>
      <c r="P212" s="10">
        <f t="shared" si="18"/>
        <v>-23</v>
      </c>
      <c r="Q212" s="10">
        <f t="shared" si="19"/>
        <v>0</v>
      </c>
      <c r="R212" s="10">
        <f t="shared" si="20"/>
        <v>-23</v>
      </c>
      <c r="S212" s="10">
        <f t="shared" si="21"/>
        <v>-53</v>
      </c>
    </row>
    <row r="213" spans="1:19" ht="12.75" x14ac:dyDescent="0.2">
      <c r="A213" s="113" t="s">
        <v>501</v>
      </c>
      <c r="B213" s="114">
        <v>44986</v>
      </c>
      <c r="C213" s="113" t="s">
        <v>502</v>
      </c>
      <c r="D213">
        <v>13978.16</v>
      </c>
      <c r="E213">
        <v>69</v>
      </c>
      <c r="K213" s="2"/>
      <c r="L213" s="15">
        <f t="shared" si="22"/>
        <v>44986</v>
      </c>
      <c r="N213" s="185">
        <f t="shared" si="23"/>
        <v>45000</v>
      </c>
      <c r="O213" s="114">
        <v>45000</v>
      </c>
      <c r="P213" s="10">
        <f t="shared" si="18"/>
        <v>-14</v>
      </c>
      <c r="Q213" s="10">
        <f t="shared" si="19"/>
        <v>0</v>
      </c>
      <c r="R213" s="10">
        <f t="shared" si="20"/>
        <v>-14</v>
      </c>
      <c r="S213" s="10">
        <f t="shared" si="21"/>
        <v>-44</v>
      </c>
    </row>
    <row r="214" spans="1:19" ht="12.75" x14ac:dyDescent="0.2">
      <c r="A214" s="113" t="s">
        <v>503</v>
      </c>
      <c r="B214" s="114">
        <v>44927</v>
      </c>
      <c r="C214" s="113" t="s">
        <v>504</v>
      </c>
      <c r="D214">
        <v>257.14999999999998</v>
      </c>
      <c r="E214">
        <v>69</v>
      </c>
      <c r="K214" s="2"/>
      <c r="L214" s="15">
        <f t="shared" si="22"/>
        <v>44927</v>
      </c>
      <c r="N214" s="185">
        <f t="shared" si="23"/>
        <v>44970</v>
      </c>
      <c r="O214" s="114">
        <v>44970</v>
      </c>
      <c r="P214" s="10">
        <f t="shared" si="18"/>
        <v>-43</v>
      </c>
      <c r="Q214" s="10">
        <f t="shared" si="19"/>
        <v>0</v>
      </c>
      <c r="R214" s="10">
        <f t="shared" si="20"/>
        <v>-43</v>
      </c>
      <c r="S214" s="10">
        <f t="shared" si="21"/>
        <v>-73</v>
      </c>
    </row>
    <row r="215" spans="1:19" ht="12.75" x14ac:dyDescent="0.2">
      <c r="A215" s="113" t="s">
        <v>505</v>
      </c>
      <c r="B215" s="114">
        <v>44957</v>
      </c>
      <c r="C215" s="113" t="s">
        <v>506</v>
      </c>
      <c r="D215">
        <v>2089.66</v>
      </c>
      <c r="E215">
        <v>69</v>
      </c>
      <c r="K215" s="2"/>
      <c r="L215" s="15">
        <f t="shared" si="22"/>
        <v>44957</v>
      </c>
      <c r="N215" s="185">
        <f t="shared" si="23"/>
        <v>44987</v>
      </c>
      <c r="O215" s="114">
        <v>44987</v>
      </c>
      <c r="P215" s="10">
        <f t="shared" si="18"/>
        <v>-30</v>
      </c>
      <c r="Q215" s="10">
        <f t="shared" si="19"/>
        <v>0</v>
      </c>
      <c r="R215" s="10">
        <f t="shared" si="20"/>
        <v>-30</v>
      </c>
      <c r="S215" s="10">
        <f t="shared" si="21"/>
        <v>-60</v>
      </c>
    </row>
    <row r="216" spans="1:19" ht="12.75" x14ac:dyDescent="0.2">
      <c r="A216" s="113" t="s">
        <v>507</v>
      </c>
      <c r="B216" s="114">
        <v>44998</v>
      </c>
      <c r="C216" s="113" t="s">
        <v>508</v>
      </c>
      <c r="D216">
        <v>423.5</v>
      </c>
      <c r="E216">
        <v>69</v>
      </c>
      <c r="K216" s="2"/>
      <c r="L216" s="15">
        <f t="shared" si="22"/>
        <v>44998</v>
      </c>
      <c r="N216" s="185">
        <f t="shared" si="23"/>
        <v>45000</v>
      </c>
      <c r="O216" s="114">
        <v>45000</v>
      </c>
      <c r="P216" s="10">
        <f t="shared" si="18"/>
        <v>-2</v>
      </c>
      <c r="Q216" s="10">
        <f t="shared" si="19"/>
        <v>0</v>
      </c>
      <c r="R216" s="10">
        <f t="shared" si="20"/>
        <v>-2</v>
      </c>
      <c r="S216" s="10">
        <f t="shared" si="21"/>
        <v>-32</v>
      </c>
    </row>
    <row r="217" spans="1:19" ht="12.75" x14ac:dyDescent="0.2">
      <c r="A217" s="113" t="s">
        <v>509</v>
      </c>
      <c r="B217" s="114">
        <v>45001</v>
      </c>
      <c r="C217" s="113" t="s">
        <v>510</v>
      </c>
      <c r="D217">
        <v>1666.8</v>
      </c>
      <c r="E217">
        <v>69</v>
      </c>
      <c r="K217" s="2"/>
      <c r="L217" s="15">
        <f t="shared" si="22"/>
        <v>45001</v>
      </c>
      <c r="N217" s="185">
        <f t="shared" si="23"/>
        <v>45015</v>
      </c>
      <c r="O217" s="114">
        <v>45015</v>
      </c>
      <c r="P217" s="10">
        <f t="shared" si="18"/>
        <v>-14</v>
      </c>
      <c r="Q217" s="10">
        <f t="shared" si="19"/>
        <v>0</v>
      </c>
      <c r="R217" s="10">
        <f t="shared" si="20"/>
        <v>-14</v>
      </c>
      <c r="S217" s="10">
        <f t="shared" si="21"/>
        <v>-44</v>
      </c>
    </row>
    <row r="218" spans="1:19" ht="12.75" x14ac:dyDescent="0.2">
      <c r="A218" s="113" t="s">
        <v>511</v>
      </c>
      <c r="B218" s="114">
        <v>44936</v>
      </c>
      <c r="C218" s="113" t="s">
        <v>512</v>
      </c>
      <c r="D218">
        <v>5227.2</v>
      </c>
      <c r="E218">
        <v>69</v>
      </c>
      <c r="K218" s="2"/>
      <c r="L218" s="15">
        <f t="shared" si="22"/>
        <v>44936</v>
      </c>
      <c r="N218" s="185">
        <f t="shared" si="23"/>
        <v>44951</v>
      </c>
      <c r="O218" s="114">
        <v>44951</v>
      </c>
      <c r="P218" s="10">
        <f t="shared" si="18"/>
        <v>-15</v>
      </c>
      <c r="Q218" s="10">
        <f t="shared" si="19"/>
        <v>0</v>
      </c>
      <c r="R218" s="10">
        <f t="shared" si="20"/>
        <v>-15</v>
      </c>
      <c r="S218" s="10">
        <f t="shared" si="21"/>
        <v>-45</v>
      </c>
    </row>
    <row r="219" spans="1:19" ht="12.75" x14ac:dyDescent="0.2">
      <c r="A219" s="113" t="s">
        <v>513</v>
      </c>
      <c r="B219" s="114">
        <v>44939</v>
      </c>
      <c r="C219" s="113" t="s">
        <v>514</v>
      </c>
      <c r="D219">
        <v>18016.900000000001</v>
      </c>
      <c r="E219">
        <v>69</v>
      </c>
      <c r="K219" s="2"/>
      <c r="L219" s="15">
        <f t="shared" si="22"/>
        <v>44939</v>
      </c>
      <c r="N219" s="185">
        <f t="shared" si="23"/>
        <v>45000</v>
      </c>
      <c r="O219" s="114">
        <v>45000</v>
      </c>
      <c r="P219" s="10">
        <f t="shared" si="18"/>
        <v>-61</v>
      </c>
      <c r="Q219" s="10">
        <f t="shared" si="19"/>
        <v>0</v>
      </c>
      <c r="R219" s="10">
        <f t="shared" si="20"/>
        <v>-61</v>
      </c>
      <c r="S219" s="10">
        <f t="shared" si="21"/>
        <v>-91</v>
      </c>
    </row>
    <row r="220" spans="1:19" ht="12.75" x14ac:dyDescent="0.2">
      <c r="A220" s="113" t="s">
        <v>515</v>
      </c>
      <c r="B220" s="114">
        <v>44977</v>
      </c>
      <c r="C220" s="113" t="s">
        <v>516</v>
      </c>
      <c r="D220">
        <v>681.86</v>
      </c>
      <c r="E220">
        <v>69</v>
      </c>
      <c r="K220" s="2"/>
      <c r="L220" s="15">
        <f t="shared" si="22"/>
        <v>44977</v>
      </c>
      <c r="N220" s="185">
        <f t="shared" si="23"/>
        <v>44986</v>
      </c>
      <c r="O220" s="114">
        <v>44986</v>
      </c>
      <c r="P220" s="10">
        <f t="shared" si="18"/>
        <v>-9</v>
      </c>
      <c r="Q220" s="10">
        <f t="shared" si="19"/>
        <v>0</v>
      </c>
      <c r="R220" s="10">
        <f t="shared" si="20"/>
        <v>-9</v>
      </c>
      <c r="S220" s="10">
        <f t="shared" si="21"/>
        <v>-39</v>
      </c>
    </row>
    <row r="221" spans="1:19" ht="12.75" x14ac:dyDescent="0.2">
      <c r="A221" s="113" t="s">
        <v>517</v>
      </c>
      <c r="B221" s="114">
        <v>44944</v>
      </c>
      <c r="C221" s="113" t="s">
        <v>518</v>
      </c>
      <c r="D221">
        <v>1459.89</v>
      </c>
      <c r="E221">
        <v>69</v>
      </c>
      <c r="K221" s="2"/>
      <c r="L221" s="15">
        <f t="shared" si="22"/>
        <v>44944</v>
      </c>
      <c r="N221" s="185">
        <f t="shared" si="23"/>
        <v>44958</v>
      </c>
      <c r="O221" s="114">
        <v>44958</v>
      </c>
      <c r="P221" s="10">
        <f t="shared" si="18"/>
        <v>-14</v>
      </c>
      <c r="Q221" s="10">
        <f t="shared" si="19"/>
        <v>0</v>
      </c>
      <c r="R221" s="10">
        <f t="shared" si="20"/>
        <v>-14</v>
      </c>
      <c r="S221" s="10">
        <f t="shared" si="21"/>
        <v>-44</v>
      </c>
    </row>
    <row r="222" spans="1:19" ht="12.75" x14ac:dyDescent="0.2">
      <c r="A222" s="113" t="s">
        <v>519</v>
      </c>
      <c r="B222" s="114">
        <v>44978</v>
      </c>
      <c r="C222" s="113" t="s">
        <v>520</v>
      </c>
      <c r="D222">
        <v>676.08</v>
      </c>
      <c r="E222">
        <v>69</v>
      </c>
      <c r="K222" s="2"/>
      <c r="L222" s="15">
        <f t="shared" si="22"/>
        <v>44978</v>
      </c>
      <c r="N222" s="185">
        <f t="shared" si="23"/>
        <v>44986</v>
      </c>
      <c r="O222" s="114">
        <v>44986</v>
      </c>
      <c r="P222" s="10">
        <f t="shared" si="18"/>
        <v>-8</v>
      </c>
      <c r="Q222" s="10">
        <f t="shared" si="19"/>
        <v>0</v>
      </c>
      <c r="R222" s="10">
        <f t="shared" si="20"/>
        <v>-8</v>
      </c>
      <c r="S222" s="10">
        <f t="shared" si="21"/>
        <v>-38</v>
      </c>
    </row>
    <row r="223" spans="1:19" ht="12.75" x14ac:dyDescent="0.2">
      <c r="A223" s="113" t="s">
        <v>521</v>
      </c>
      <c r="B223" s="114">
        <v>44977</v>
      </c>
      <c r="C223" s="113" t="s">
        <v>522</v>
      </c>
      <c r="D223" s="186">
        <v>376.96</v>
      </c>
      <c r="E223">
        <v>69</v>
      </c>
      <c r="K223" s="2"/>
      <c r="L223" s="15">
        <f t="shared" si="22"/>
        <v>44977</v>
      </c>
      <c r="N223" s="185">
        <f t="shared" si="23"/>
        <v>44986</v>
      </c>
      <c r="O223" s="114">
        <v>44986</v>
      </c>
      <c r="P223" s="10">
        <f t="shared" si="18"/>
        <v>-9</v>
      </c>
      <c r="Q223" s="10">
        <f t="shared" si="19"/>
        <v>0</v>
      </c>
      <c r="R223" s="10">
        <f t="shared" si="20"/>
        <v>-9</v>
      </c>
      <c r="S223" s="10">
        <f t="shared" si="21"/>
        <v>-39</v>
      </c>
    </row>
    <row r="224" spans="1:19" x14ac:dyDescent="0.2">
      <c r="D224" s="8">
        <f>SUM(D7:D223)</f>
        <v>237861.97999999998</v>
      </c>
      <c r="K224" s="2"/>
      <c r="O224" s="15"/>
      <c r="S224" s="10"/>
    </row>
    <row r="225" spans="4:19" x14ac:dyDescent="0.2">
      <c r="K225" s="2"/>
      <c r="O225" s="15"/>
      <c r="S225" s="10"/>
    </row>
    <row r="226" spans="4:19" x14ac:dyDescent="0.2">
      <c r="K226" s="2"/>
      <c r="O226" s="15"/>
      <c r="S226" s="10"/>
    </row>
    <row r="227" spans="4:19" x14ac:dyDescent="0.2">
      <c r="K227" s="2"/>
      <c r="O227" s="15"/>
      <c r="S227" s="10"/>
    </row>
    <row r="228" spans="4:19" x14ac:dyDescent="0.2">
      <c r="D228" s="8">
        <f>SUM(D7:D22)</f>
        <v>8556.3799999999992</v>
      </c>
      <c r="E228" s="2">
        <v>20</v>
      </c>
      <c r="F228" s="2">
        <v>16</v>
      </c>
      <c r="K228" s="2"/>
      <c r="O228" s="15"/>
      <c r="S228" s="10"/>
    </row>
    <row r="229" spans="4:19" x14ac:dyDescent="0.2">
      <c r="D229" s="8">
        <f>SUM(D23:D48)</f>
        <v>8783.59</v>
      </c>
      <c r="E229" s="2">
        <v>21</v>
      </c>
      <c r="F229" s="2">
        <v>26</v>
      </c>
      <c r="K229" s="2"/>
      <c r="O229" s="15"/>
      <c r="S229" s="10"/>
    </row>
    <row r="230" spans="4:19" x14ac:dyDescent="0.2">
      <c r="D230" s="8">
        <f>SUM(D49:D75)</f>
        <v>9493.7099999999991</v>
      </c>
      <c r="E230" s="2">
        <v>22</v>
      </c>
      <c r="F230" s="2">
        <v>27</v>
      </c>
      <c r="K230" s="2"/>
      <c r="O230" s="15"/>
      <c r="S230" s="10"/>
    </row>
    <row r="231" spans="4:19" x14ac:dyDescent="0.2">
      <c r="D231" s="8">
        <f>SUM(D76:D204)</f>
        <v>130960.44999999998</v>
      </c>
      <c r="E231" s="2">
        <v>29</v>
      </c>
      <c r="F231" s="2">
        <v>130</v>
      </c>
      <c r="K231" s="2"/>
      <c r="O231" s="15"/>
      <c r="S231" s="10"/>
    </row>
    <row r="232" spans="4:19" x14ac:dyDescent="0.2">
      <c r="D232" s="119">
        <f>SUM(D205:D223)</f>
        <v>80067.850000000006</v>
      </c>
      <c r="E232" s="2">
        <v>69</v>
      </c>
      <c r="F232" s="118">
        <v>19</v>
      </c>
      <c r="K232" s="2"/>
      <c r="O232" s="15"/>
      <c r="S232" s="10"/>
    </row>
    <row r="233" spans="4:19" x14ac:dyDescent="0.2">
      <c r="D233" s="8">
        <f>SUM(D228:D232)</f>
        <v>237861.97999999998</v>
      </c>
      <c r="F233" s="2">
        <f>SUM(F228:F232)</f>
        <v>218</v>
      </c>
      <c r="K233" s="2"/>
      <c r="O233" s="15"/>
      <c r="S233" s="10"/>
    </row>
    <row r="234" spans="4:19" x14ac:dyDescent="0.2">
      <c r="K234" s="2"/>
      <c r="O234" s="15"/>
      <c r="S234" s="10"/>
    </row>
  </sheetData>
  <sheetProtection selectLockedCells="1" selectUnlockedCells="1"/>
  <mergeCells count="1">
    <mergeCell ref="M2:N2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6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Orria3">
    <tabColor indexed="41"/>
  </sheetPr>
  <dimension ref="A1:V76"/>
  <sheetViews>
    <sheetView zoomScale="85" zoomScaleNormal="85" workbookViewId="0">
      <pane ySplit="7" topLeftCell="A8" activePane="bottomLeft" state="frozen"/>
      <selection pane="bottomLeft" activeCell="A8" sqref="A8:XFD77"/>
    </sheetView>
  </sheetViews>
  <sheetFormatPr defaultRowHeight="11.25" x14ac:dyDescent="0.2"/>
  <cols>
    <col min="1" max="1" width="13.140625" style="2" customWidth="1"/>
    <col min="2" max="2" width="10.140625" style="15" bestFit="1" customWidth="1"/>
    <col min="3" max="3" width="9.140625" style="2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17" style="2" bestFit="1" customWidth="1"/>
    <col min="11" max="11" width="15.42578125" style="15" bestFit="1" customWidth="1"/>
    <col min="12" max="12" width="9.28515625" style="15" bestFit="1" customWidth="1"/>
    <col min="13" max="13" width="27.140625" style="15" customWidth="1"/>
    <col min="14" max="14" width="10.7109375" style="15" bestFit="1" customWidth="1"/>
    <col min="15" max="16" width="9.28515625" style="10" bestFit="1" customWidth="1"/>
    <col min="17" max="17" width="10" style="10" bestFit="1" customWidth="1"/>
    <col min="18" max="18" width="8.7109375" style="10" bestFit="1" customWidth="1"/>
    <col min="19" max="19" width="8.140625" style="2" customWidth="1"/>
    <col min="20" max="21" width="14.5703125" style="8" bestFit="1" customWidth="1"/>
    <col min="22" max="16384" width="9.140625" style="2"/>
  </cols>
  <sheetData>
    <row r="1" spans="1:22" x14ac:dyDescent="0.2">
      <c r="A1" s="3" t="s">
        <v>90</v>
      </c>
      <c r="B1" s="17"/>
      <c r="C1" s="4"/>
      <c r="D1" s="7"/>
      <c r="E1" s="4"/>
      <c r="F1" s="4"/>
      <c r="G1" s="4"/>
      <c r="H1" s="4"/>
      <c r="I1" s="4"/>
      <c r="J1" s="4"/>
      <c r="P1" s="10" t="s">
        <v>89</v>
      </c>
      <c r="Q1" s="106">
        <v>45016</v>
      </c>
    </row>
    <row r="2" spans="1:22" x14ac:dyDescent="0.2">
      <c r="A2" s="3"/>
      <c r="B2" s="17"/>
      <c r="C2" s="4"/>
      <c r="D2" s="7"/>
      <c r="E2" s="4"/>
      <c r="F2" s="4"/>
      <c r="G2" s="4"/>
      <c r="H2" s="4"/>
      <c r="I2" s="4"/>
      <c r="J2" s="4"/>
    </row>
    <row r="3" spans="1:22" x14ac:dyDescent="0.2">
      <c r="A3" s="3"/>
      <c r="B3" s="17"/>
      <c r="C3" s="4"/>
      <c r="D3" s="7"/>
      <c r="E3" s="4"/>
      <c r="F3" s="4"/>
      <c r="G3" s="4"/>
      <c r="H3" s="4"/>
      <c r="I3" s="4"/>
      <c r="J3" s="4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</row>
    <row r="5" spans="1:22" x14ac:dyDescent="0.2">
      <c r="A5" s="3"/>
      <c r="B5" s="17"/>
      <c r="C5" s="4"/>
      <c r="D5" s="7"/>
      <c r="E5" s="4"/>
      <c r="F5" s="4"/>
      <c r="G5" s="4"/>
      <c r="H5" s="4"/>
      <c r="I5" s="4"/>
      <c r="J5" s="4"/>
    </row>
    <row r="7" spans="1:22" ht="38.25" customHeight="1" x14ac:dyDescent="0.2">
      <c r="A7" s="5" t="s">
        <v>70</v>
      </c>
      <c r="B7" s="18" t="s">
        <v>71</v>
      </c>
      <c r="C7" s="6" t="s">
        <v>72</v>
      </c>
      <c r="D7" s="9" t="s">
        <v>57</v>
      </c>
      <c r="E7" s="5" t="s">
        <v>73</v>
      </c>
      <c r="F7" s="6" t="s">
        <v>74</v>
      </c>
      <c r="G7" s="6" t="s">
        <v>75</v>
      </c>
      <c r="H7" s="6" t="s">
        <v>8</v>
      </c>
      <c r="I7" s="6" t="s">
        <v>9</v>
      </c>
      <c r="J7" s="6" t="s">
        <v>7</v>
      </c>
      <c r="K7" s="16" t="s">
        <v>76</v>
      </c>
      <c r="L7" s="16" t="s">
        <v>77</v>
      </c>
      <c r="M7" s="16" t="s">
        <v>78</v>
      </c>
      <c r="N7" s="16" t="s">
        <v>79</v>
      </c>
      <c r="O7" s="11" t="s">
        <v>80</v>
      </c>
      <c r="P7" s="12" t="s">
        <v>87</v>
      </c>
      <c r="Q7" s="13" t="s">
        <v>88</v>
      </c>
      <c r="R7" s="14" t="s">
        <v>56</v>
      </c>
      <c r="S7" s="2" t="s">
        <v>83</v>
      </c>
      <c r="T7" s="8" t="s">
        <v>84</v>
      </c>
      <c r="U7" s="8" t="s">
        <v>85</v>
      </c>
      <c r="V7" s="2" t="s">
        <v>86</v>
      </c>
    </row>
    <row r="8" spans="1:22" ht="12.75" x14ac:dyDescent="0.2">
      <c r="A8" s="113" t="s">
        <v>523</v>
      </c>
      <c r="B8" s="114">
        <v>45000</v>
      </c>
      <c r="C8" s="113" t="s">
        <v>524</v>
      </c>
      <c r="D8">
        <v>750.54</v>
      </c>
      <c r="N8" s="15">
        <f>+O8</f>
        <v>45030</v>
      </c>
      <c r="O8" s="114">
        <v>45030</v>
      </c>
      <c r="S8">
        <v>21</v>
      </c>
    </row>
    <row r="9" spans="1:22" ht="12.75" x14ac:dyDescent="0.2">
      <c r="A9" s="113" t="s">
        <v>525</v>
      </c>
      <c r="B9" s="114">
        <v>45013</v>
      </c>
      <c r="C9" s="113" t="s">
        <v>526</v>
      </c>
      <c r="D9">
        <v>537.63</v>
      </c>
      <c r="N9" s="15">
        <f t="shared" ref="N9:N68" si="0">+O9</f>
        <v>45031</v>
      </c>
      <c r="O9" s="114">
        <v>45031</v>
      </c>
      <c r="S9">
        <v>21</v>
      </c>
    </row>
    <row r="10" spans="1:22" ht="12.75" x14ac:dyDescent="0.2">
      <c r="A10" s="113" t="s">
        <v>527</v>
      </c>
      <c r="B10" s="114">
        <v>44992</v>
      </c>
      <c r="C10" s="113" t="s">
        <v>528</v>
      </c>
      <c r="D10">
        <v>99.95</v>
      </c>
      <c r="N10" s="15">
        <f t="shared" si="0"/>
        <v>45032</v>
      </c>
      <c r="O10" s="114">
        <v>45032</v>
      </c>
      <c r="S10">
        <v>21</v>
      </c>
    </row>
    <row r="11" spans="1:22" ht="12.75" x14ac:dyDescent="0.2">
      <c r="A11" s="113" t="s">
        <v>529</v>
      </c>
      <c r="B11" s="114">
        <v>45010</v>
      </c>
      <c r="C11" s="113" t="s">
        <v>530</v>
      </c>
      <c r="D11">
        <v>96.85</v>
      </c>
      <c r="N11" s="15">
        <f t="shared" si="0"/>
        <v>45033</v>
      </c>
      <c r="O11" s="114">
        <v>45033</v>
      </c>
      <c r="S11">
        <v>21</v>
      </c>
    </row>
    <row r="12" spans="1:22" ht="12.75" x14ac:dyDescent="0.2">
      <c r="A12" s="113" t="s">
        <v>531</v>
      </c>
      <c r="B12" s="114">
        <v>45016</v>
      </c>
      <c r="C12" s="113" t="s">
        <v>532</v>
      </c>
      <c r="D12">
        <v>30.25</v>
      </c>
      <c r="N12" s="15">
        <f t="shared" si="0"/>
        <v>45034</v>
      </c>
      <c r="O12" s="114">
        <v>45034</v>
      </c>
      <c r="S12">
        <v>21</v>
      </c>
    </row>
    <row r="13" spans="1:22" ht="12.75" x14ac:dyDescent="0.2">
      <c r="A13" s="113" t="s">
        <v>533</v>
      </c>
      <c r="B13" s="114">
        <v>44995</v>
      </c>
      <c r="C13" s="113" t="s">
        <v>534</v>
      </c>
      <c r="D13">
        <v>533.16999999999996</v>
      </c>
      <c r="N13" s="15">
        <f t="shared" si="0"/>
        <v>45035</v>
      </c>
      <c r="O13" s="114">
        <v>45035</v>
      </c>
      <c r="S13">
        <v>22</v>
      </c>
    </row>
    <row r="14" spans="1:22" ht="12.75" x14ac:dyDescent="0.2">
      <c r="A14" s="113" t="s">
        <v>535</v>
      </c>
      <c r="B14" s="114">
        <v>45001</v>
      </c>
      <c r="C14" s="113" t="s">
        <v>536</v>
      </c>
      <c r="D14">
        <v>1.96</v>
      </c>
      <c r="N14" s="15">
        <f t="shared" si="0"/>
        <v>45036</v>
      </c>
      <c r="O14" s="114">
        <v>45036</v>
      </c>
      <c r="S14">
        <v>22</v>
      </c>
    </row>
    <row r="15" spans="1:22" ht="12.75" x14ac:dyDescent="0.2">
      <c r="A15" s="113" t="s">
        <v>537</v>
      </c>
      <c r="B15" s="114">
        <v>45001</v>
      </c>
      <c r="C15" s="113" t="s">
        <v>538</v>
      </c>
      <c r="D15">
        <v>11.27</v>
      </c>
      <c r="N15" s="15">
        <f t="shared" si="0"/>
        <v>45037</v>
      </c>
      <c r="O15" s="114">
        <v>45037</v>
      </c>
      <c r="S15">
        <v>22</v>
      </c>
    </row>
    <row r="16" spans="1:22" ht="12.75" x14ac:dyDescent="0.2">
      <c r="A16" s="113" t="s">
        <v>539</v>
      </c>
      <c r="B16" s="114">
        <v>45009</v>
      </c>
      <c r="C16" s="113" t="s">
        <v>540</v>
      </c>
      <c r="D16">
        <v>494.66</v>
      </c>
      <c r="N16" s="15">
        <f t="shared" si="0"/>
        <v>45038</v>
      </c>
      <c r="O16" s="114">
        <v>45038</v>
      </c>
      <c r="S16">
        <v>22</v>
      </c>
    </row>
    <row r="17" spans="1:19" ht="12.75" x14ac:dyDescent="0.2">
      <c r="A17" s="113" t="s">
        <v>541</v>
      </c>
      <c r="B17" s="114">
        <v>45008</v>
      </c>
      <c r="C17" s="113" t="s">
        <v>542</v>
      </c>
      <c r="D17">
        <v>20.149999999999999</v>
      </c>
      <c r="N17" s="15">
        <f t="shared" si="0"/>
        <v>45039</v>
      </c>
      <c r="O17" s="114">
        <v>45039</v>
      </c>
      <c r="S17">
        <v>22</v>
      </c>
    </row>
    <row r="18" spans="1:19" ht="12.75" x14ac:dyDescent="0.2">
      <c r="A18" s="113" t="s">
        <v>543</v>
      </c>
      <c r="B18" s="114">
        <v>45015</v>
      </c>
      <c r="C18" s="113" t="s">
        <v>544</v>
      </c>
      <c r="D18">
        <v>2.5499999999999998</v>
      </c>
      <c r="N18" s="15">
        <f t="shared" si="0"/>
        <v>45040</v>
      </c>
      <c r="O18" s="114">
        <v>45040</v>
      </c>
      <c r="S18">
        <v>22</v>
      </c>
    </row>
    <row r="19" spans="1:19" ht="12.75" x14ac:dyDescent="0.2">
      <c r="A19" s="113" t="s">
        <v>545</v>
      </c>
      <c r="B19" s="114">
        <v>45015</v>
      </c>
      <c r="C19" s="113" t="s">
        <v>546</v>
      </c>
      <c r="D19">
        <v>7.62</v>
      </c>
      <c r="N19" s="15">
        <f t="shared" si="0"/>
        <v>45041</v>
      </c>
      <c r="O19" s="114">
        <v>45041</v>
      </c>
      <c r="S19">
        <v>22</v>
      </c>
    </row>
    <row r="20" spans="1:19" ht="12.75" x14ac:dyDescent="0.2">
      <c r="A20" s="113" t="s">
        <v>547</v>
      </c>
      <c r="B20" s="114">
        <v>45016</v>
      </c>
      <c r="C20" s="113" t="s">
        <v>548</v>
      </c>
      <c r="D20">
        <v>514.61</v>
      </c>
      <c r="N20" s="15">
        <f t="shared" si="0"/>
        <v>45042</v>
      </c>
      <c r="O20" s="114">
        <v>45042</v>
      </c>
      <c r="S20">
        <v>22</v>
      </c>
    </row>
    <row r="21" spans="1:19" ht="12.75" x14ac:dyDescent="0.2">
      <c r="A21" s="113" t="s">
        <v>549</v>
      </c>
      <c r="B21" s="114">
        <v>45016</v>
      </c>
      <c r="C21" s="113" t="s">
        <v>550</v>
      </c>
      <c r="D21">
        <v>11.69</v>
      </c>
      <c r="N21" s="15">
        <f t="shared" si="0"/>
        <v>45043</v>
      </c>
      <c r="O21" s="114">
        <v>45043</v>
      </c>
      <c r="S21">
        <v>22</v>
      </c>
    </row>
    <row r="22" spans="1:19" ht="12.75" x14ac:dyDescent="0.2">
      <c r="A22" s="113" t="s">
        <v>551</v>
      </c>
      <c r="B22" s="114">
        <v>44998</v>
      </c>
      <c r="C22" s="113" t="s">
        <v>552</v>
      </c>
      <c r="D22">
        <v>570.44000000000005</v>
      </c>
      <c r="N22" s="15">
        <f t="shared" si="0"/>
        <v>45044</v>
      </c>
      <c r="O22" s="114">
        <v>45044</v>
      </c>
      <c r="S22">
        <v>22</v>
      </c>
    </row>
    <row r="23" spans="1:19" ht="12.75" x14ac:dyDescent="0.2">
      <c r="A23" s="113" t="s">
        <v>553</v>
      </c>
      <c r="B23" s="114">
        <v>44970</v>
      </c>
      <c r="C23" s="113" t="s">
        <v>554</v>
      </c>
      <c r="D23">
        <v>1537.77</v>
      </c>
      <c r="N23" s="15">
        <f t="shared" si="0"/>
        <v>45045</v>
      </c>
      <c r="O23" s="114">
        <v>45045</v>
      </c>
      <c r="S23">
        <v>22</v>
      </c>
    </row>
    <row r="24" spans="1:19" ht="12.75" x14ac:dyDescent="0.2">
      <c r="A24" s="113" t="s">
        <v>555</v>
      </c>
      <c r="B24" s="114">
        <v>45015</v>
      </c>
      <c r="C24" s="113" t="s">
        <v>556</v>
      </c>
      <c r="D24">
        <v>7139</v>
      </c>
      <c r="N24" s="15">
        <f t="shared" si="0"/>
        <v>45046</v>
      </c>
      <c r="O24" s="114">
        <v>45046</v>
      </c>
      <c r="S24">
        <v>29</v>
      </c>
    </row>
    <row r="25" spans="1:19" ht="12.75" x14ac:dyDescent="0.2">
      <c r="A25" s="113" t="s">
        <v>557</v>
      </c>
      <c r="B25" s="114">
        <v>45012</v>
      </c>
      <c r="C25" s="113" t="s">
        <v>558</v>
      </c>
      <c r="D25">
        <v>4.3600000000000003</v>
      </c>
      <c r="N25" s="15">
        <f t="shared" si="0"/>
        <v>45047</v>
      </c>
      <c r="O25" s="114">
        <v>45047</v>
      </c>
      <c r="S25">
        <v>29</v>
      </c>
    </row>
    <row r="26" spans="1:19" ht="12.75" x14ac:dyDescent="0.2">
      <c r="A26" s="113" t="s">
        <v>559</v>
      </c>
      <c r="B26" s="114">
        <v>45016</v>
      </c>
      <c r="C26" s="113" t="s">
        <v>560</v>
      </c>
      <c r="D26">
        <v>629.20000000000005</v>
      </c>
      <c r="N26" s="15">
        <f t="shared" si="0"/>
        <v>45048</v>
      </c>
      <c r="O26" s="114">
        <v>45048</v>
      </c>
      <c r="S26">
        <v>29</v>
      </c>
    </row>
    <row r="27" spans="1:19" ht="12.75" x14ac:dyDescent="0.2">
      <c r="A27" s="113" t="s">
        <v>561</v>
      </c>
      <c r="B27" s="114">
        <v>45016</v>
      </c>
      <c r="C27" s="113" t="s">
        <v>562</v>
      </c>
      <c r="D27">
        <v>200</v>
      </c>
      <c r="N27" s="15">
        <f t="shared" si="0"/>
        <v>45049</v>
      </c>
      <c r="O27" s="114">
        <v>45049</v>
      </c>
      <c r="S27">
        <v>29</v>
      </c>
    </row>
    <row r="28" spans="1:19" ht="12.75" x14ac:dyDescent="0.2">
      <c r="A28" s="113" t="s">
        <v>563</v>
      </c>
      <c r="B28" s="114">
        <v>45016</v>
      </c>
      <c r="C28" s="113" t="s">
        <v>564</v>
      </c>
      <c r="D28">
        <v>287.87</v>
      </c>
      <c r="N28" s="15">
        <f t="shared" si="0"/>
        <v>45050</v>
      </c>
      <c r="O28" s="114">
        <v>45050</v>
      </c>
      <c r="S28">
        <v>29</v>
      </c>
    </row>
    <row r="29" spans="1:19" ht="12.75" x14ac:dyDescent="0.2">
      <c r="A29" s="113" t="s">
        <v>565</v>
      </c>
      <c r="B29" s="114">
        <v>45012</v>
      </c>
      <c r="C29" s="113" t="s">
        <v>566</v>
      </c>
      <c r="D29">
        <v>48.4</v>
      </c>
      <c r="N29" s="15">
        <f t="shared" si="0"/>
        <v>45051</v>
      </c>
      <c r="O29" s="114">
        <v>45051</v>
      </c>
      <c r="S29">
        <v>29</v>
      </c>
    </row>
    <row r="30" spans="1:19" ht="12.75" x14ac:dyDescent="0.2">
      <c r="A30" s="113" t="s">
        <v>567</v>
      </c>
      <c r="B30" s="114">
        <v>45015</v>
      </c>
      <c r="C30" s="113" t="s">
        <v>568</v>
      </c>
      <c r="D30">
        <v>1000</v>
      </c>
      <c r="N30" s="15">
        <f t="shared" si="0"/>
        <v>45052</v>
      </c>
      <c r="O30" s="114">
        <v>45052</v>
      </c>
      <c r="S30">
        <v>29</v>
      </c>
    </row>
    <row r="31" spans="1:19" ht="12.75" x14ac:dyDescent="0.2">
      <c r="A31" s="113" t="s">
        <v>569</v>
      </c>
      <c r="B31" s="114">
        <v>45008</v>
      </c>
      <c r="C31" s="113" t="s">
        <v>570</v>
      </c>
      <c r="D31">
        <v>1000</v>
      </c>
      <c r="N31" s="15">
        <f t="shared" si="0"/>
        <v>45053</v>
      </c>
      <c r="O31" s="114">
        <v>45053</v>
      </c>
      <c r="S31">
        <v>29</v>
      </c>
    </row>
    <row r="32" spans="1:19" ht="12.75" x14ac:dyDescent="0.2">
      <c r="A32" s="113" t="s">
        <v>571</v>
      </c>
      <c r="B32" s="114">
        <v>45016</v>
      </c>
      <c r="C32" s="113" t="s">
        <v>572</v>
      </c>
      <c r="D32">
        <v>254.1</v>
      </c>
      <c r="N32" s="15">
        <f t="shared" si="0"/>
        <v>45054</v>
      </c>
      <c r="O32" s="114">
        <v>45054</v>
      </c>
      <c r="S32">
        <v>29</v>
      </c>
    </row>
    <row r="33" spans="1:19" ht="12.75" x14ac:dyDescent="0.2">
      <c r="A33" s="113" t="s">
        <v>573</v>
      </c>
      <c r="B33" s="114">
        <v>45016</v>
      </c>
      <c r="C33" s="113" t="s">
        <v>574</v>
      </c>
      <c r="D33">
        <v>181.5</v>
      </c>
      <c r="N33" s="15">
        <f t="shared" si="0"/>
        <v>45055</v>
      </c>
      <c r="O33" s="114">
        <v>45055</v>
      </c>
      <c r="S33">
        <v>29</v>
      </c>
    </row>
    <row r="34" spans="1:19" ht="12.75" x14ac:dyDescent="0.2">
      <c r="A34" s="113" t="s">
        <v>575</v>
      </c>
      <c r="B34" s="114">
        <v>45016</v>
      </c>
      <c r="C34" s="113" t="s">
        <v>576</v>
      </c>
      <c r="D34">
        <v>18.100000000000001</v>
      </c>
      <c r="N34" s="15">
        <f t="shared" si="0"/>
        <v>45056</v>
      </c>
      <c r="O34" s="114">
        <v>45056</v>
      </c>
      <c r="S34">
        <v>29</v>
      </c>
    </row>
    <row r="35" spans="1:19" ht="12.75" x14ac:dyDescent="0.2">
      <c r="A35" s="113" t="s">
        <v>577</v>
      </c>
      <c r="B35" s="114">
        <v>44927</v>
      </c>
      <c r="C35" s="113" t="s">
        <v>578</v>
      </c>
      <c r="D35">
        <v>4000.01</v>
      </c>
      <c r="N35" s="15">
        <f t="shared" si="0"/>
        <v>45057</v>
      </c>
      <c r="O35" s="114">
        <v>45057</v>
      </c>
      <c r="S35">
        <v>29</v>
      </c>
    </row>
    <row r="36" spans="1:19" ht="12.75" x14ac:dyDescent="0.2">
      <c r="A36" s="113" t="s">
        <v>579</v>
      </c>
      <c r="B36" s="114">
        <v>44927</v>
      </c>
      <c r="C36" s="113" t="s">
        <v>580</v>
      </c>
      <c r="D36">
        <v>1750</v>
      </c>
      <c r="N36" s="15">
        <f>+O36</f>
        <v>45058</v>
      </c>
      <c r="O36" s="114">
        <v>45058</v>
      </c>
      <c r="S36">
        <v>29</v>
      </c>
    </row>
    <row r="37" spans="1:19" ht="12.75" x14ac:dyDescent="0.2">
      <c r="A37" s="113" t="s">
        <v>581</v>
      </c>
      <c r="B37" s="114">
        <v>45016</v>
      </c>
      <c r="C37" s="113" t="s">
        <v>582</v>
      </c>
      <c r="D37">
        <v>242.27</v>
      </c>
      <c r="N37" s="15">
        <f t="shared" si="0"/>
        <v>45059</v>
      </c>
      <c r="O37" s="114">
        <v>45059</v>
      </c>
      <c r="S37">
        <v>29</v>
      </c>
    </row>
    <row r="38" spans="1:19" ht="12.75" x14ac:dyDescent="0.2">
      <c r="A38" s="113" t="s">
        <v>583</v>
      </c>
      <c r="B38" s="114">
        <v>44986</v>
      </c>
      <c r="C38" s="113" t="s">
        <v>584</v>
      </c>
      <c r="D38">
        <v>471.9</v>
      </c>
      <c r="N38" s="15">
        <f t="shared" si="0"/>
        <v>45060</v>
      </c>
      <c r="O38" s="114">
        <v>45060</v>
      </c>
      <c r="S38">
        <v>29</v>
      </c>
    </row>
    <row r="39" spans="1:19" ht="12.75" x14ac:dyDescent="0.2">
      <c r="A39" s="113" t="s">
        <v>585</v>
      </c>
      <c r="B39" s="114">
        <v>45015</v>
      </c>
      <c r="C39" s="113" t="s">
        <v>586</v>
      </c>
      <c r="D39">
        <v>1150.17</v>
      </c>
      <c r="N39" s="15">
        <f t="shared" si="0"/>
        <v>45061</v>
      </c>
      <c r="O39" s="114">
        <v>45061</v>
      </c>
      <c r="S39">
        <v>29</v>
      </c>
    </row>
    <row r="40" spans="1:19" ht="12.75" x14ac:dyDescent="0.2">
      <c r="A40" s="113" t="s">
        <v>587</v>
      </c>
      <c r="B40" s="114">
        <v>45015</v>
      </c>
      <c r="C40" s="113" t="s">
        <v>588</v>
      </c>
      <c r="D40">
        <v>12.5</v>
      </c>
      <c r="N40" s="15">
        <f t="shared" si="0"/>
        <v>45062</v>
      </c>
      <c r="O40" s="114">
        <v>45062</v>
      </c>
      <c r="S40">
        <v>29</v>
      </c>
    </row>
    <row r="41" spans="1:19" ht="12.75" x14ac:dyDescent="0.2">
      <c r="A41" s="113" t="s">
        <v>589</v>
      </c>
      <c r="B41" s="114">
        <v>45015</v>
      </c>
      <c r="C41" s="113" t="s">
        <v>590</v>
      </c>
      <c r="D41">
        <v>173.85</v>
      </c>
      <c r="N41" s="15">
        <f t="shared" si="0"/>
        <v>45063</v>
      </c>
      <c r="O41" s="114">
        <v>45063</v>
      </c>
      <c r="S41">
        <v>29</v>
      </c>
    </row>
    <row r="42" spans="1:19" ht="12.75" x14ac:dyDescent="0.2">
      <c r="A42" s="113" t="s">
        <v>591</v>
      </c>
      <c r="B42" s="114">
        <v>45015</v>
      </c>
      <c r="C42" s="113" t="s">
        <v>592</v>
      </c>
      <c r="D42">
        <v>78.69</v>
      </c>
      <c r="N42" s="15">
        <f t="shared" si="0"/>
        <v>45064</v>
      </c>
      <c r="O42" s="114">
        <v>45064</v>
      </c>
      <c r="S42">
        <v>29</v>
      </c>
    </row>
    <row r="43" spans="1:19" ht="12.75" x14ac:dyDescent="0.2">
      <c r="A43" s="113" t="s">
        <v>593</v>
      </c>
      <c r="B43" s="114">
        <v>45015</v>
      </c>
      <c r="C43" s="113" t="s">
        <v>594</v>
      </c>
      <c r="D43">
        <v>19</v>
      </c>
      <c r="N43" s="15">
        <f t="shared" si="0"/>
        <v>45065</v>
      </c>
      <c r="O43" s="114">
        <v>45065</v>
      </c>
      <c r="S43">
        <v>29</v>
      </c>
    </row>
    <row r="44" spans="1:19" ht="12.75" x14ac:dyDescent="0.2">
      <c r="A44" s="113" t="s">
        <v>595</v>
      </c>
      <c r="B44" s="114">
        <v>45015</v>
      </c>
      <c r="C44" s="113" t="s">
        <v>596</v>
      </c>
      <c r="D44">
        <v>1862.13</v>
      </c>
      <c r="N44" s="15">
        <f t="shared" si="0"/>
        <v>45066</v>
      </c>
      <c r="O44" s="114">
        <v>45066</v>
      </c>
      <c r="S44">
        <v>29</v>
      </c>
    </row>
    <row r="45" spans="1:19" ht="12.75" x14ac:dyDescent="0.2">
      <c r="A45" s="113" t="s">
        <v>597</v>
      </c>
      <c r="B45" s="114">
        <v>45015</v>
      </c>
      <c r="C45" s="113" t="s">
        <v>598</v>
      </c>
      <c r="D45">
        <v>40.19</v>
      </c>
      <c r="N45" s="15">
        <f t="shared" si="0"/>
        <v>45067</v>
      </c>
      <c r="O45" s="114">
        <v>45067</v>
      </c>
      <c r="S45">
        <v>29</v>
      </c>
    </row>
    <row r="46" spans="1:19" ht="12.75" x14ac:dyDescent="0.2">
      <c r="A46" s="113" t="s">
        <v>599</v>
      </c>
      <c r="B46" s="114">
        <v>45015</v>
      </c>
      <c r="C46" s="113" t="s">
        <v>600</v>
      </c>
      <c r="D46">
        <v>486</v>
      </c>
      <c r="N46" s="15">
        <f t="shared" si="0"/>
        <v>45068</v>
      </c>
      <c r="O46" s="114">
        <v>45068</v>
      </c>
      <c r="S46">
        <v>29</v>
      </c>
    </row>
    <row r="47" spans="1:19" ht="12.75" x14ac:dyDescent="0.2">
      <c r="A47" s="113" t="s">
        <v>601</v>
      </c>
      <c r="B47" s="114">
        <v>45015</v>
      </c>
      <c r="C47" s="113" t="s">
        <v>602</v>
      </c>
      <c r="D47">
        <v>545.32000000000005</v>
      </c>
      <c r="N47" s="15">
        <f t="shared" si="0"/>
        <v>45069</v>
      </c>
      <c r="O47" s="114">
        <v>45069</v>
      </c>
      <c r="S47">
        <v>29</v>
      </c>
    </row>
    <row r="48" spans="1:19" ht="12.75" x14ac:dyDescent="0.2">
      <c r="A48" s="113" t="s">
        <v>603</v>
      </c>
      <c r="B48" s="114">
        <v>45015</v>
      </c>
      <c r="C48" s="113" t="s">
        <v>604</v>
      </c>
      <c r="D48">
        <v>12.47</v>
      </c>
      <c r="N48" s="15">
        <f t="shared" si="0"/>
        <v>45070</v>
      </c>
      <c r="O48" s="114">
        <v>45070</v>
      </c>
      <c r="S48">
        <v>29</v>
      </c>
    </row>
    <row r="49" spans="1:19" ht="12.75" x14ac:dyDescent="0.2">
      <c r="A49" s="113" t="s">
        <v>605</v>
      </c>
      <c r="B49" s="114">
        <v>45015</v>
      </c>
      <c r="C49" s="113" t="s">
        <v>606</v>
      </c>
      <c r="D49">
        <v>626.54</v>
      </c>
      <c r="N49" s="15">
        <f t="shared" si="0"/>
        <v>45071</v>
      </c>
      <c r="O49" s="114">
        <v>45071</v>
      </c>
      <c r="S49">
        <v>29</v>
      </c>
    </row>
    <row r="50" spans="1:19" ht="12.75" x14ac:dyDescent="0.2">
      <c r="A50" s="113" t="s">
        <v>607</v>
      </c>
      <c r="B50" s="114">
        <v>45015</v>
      </c>
      <c r="C50" s="113" t="s">
        <v>608</v>
      </c>
      <c r="D50">
        <v>25.84</v>
      </c>
      <c r="N50" s="15">
        <f t="shared" si="0"/>
        <v>45072</v>
      </c>
      <c r="O50" s="114">
        <v>45072</v>
      </c>
      <c r="S50">
        <v>29</v>
      </c>
    </row>
    <row r="51" spans="1:19" ht="12.75" x14ac:dyDescent="0.2">
      <c r="A51" s="113" t="s">
        <v>609</v>
      </c>
      <c r="B51" s="114">
        <v>45015</v>
      </c>
      <c r="C51" s="113" t="s">
        <v>610</v>
      </c>
      <c r="D51">
        <v>12.17</v>
      </c>
      <c r="N51" s="15">
        <f t="shared" si="0"/>
        <v>45073</v>
      </c>
      <c r="O51" s="114">
        <v>45073</v>
      </c>
      <c r="S51">
        <v>29</v>
      </c>
    </row>
    <row r="52" spans="1:19" ht="12.75" x14ac:dyDescent="0.2">
      <c r="A52" s="113" t="s">
        <v>611</v>
      </c>
      <c r="B52" s="114">
        <v>45015</v>
      </c>
      <c r="C52" s="113" t="s">
        <v>612</v>
      </c>
      <c r="D52">
        <v>9.36</v>
      </c>
      <c r="N52" s="15">
        <f t="shared" si="0"/>
        <v>45074</v>
      </c>
      <c r="O52" s="114">
        <v>45074</v>
      </c>
      <c r="S52">
        <v>29</v>
      </c>
    </row>
    <row r="53" spans="1:19" ht="12.75" x14ac:dyDescent="0.2">
      <c r="A53" s="113" t="s">
        <v>613</v>
      </c>
      <c r="B53" s="114">
        <v>45016</v>
      </c>
      <c r="C53" s="113" t="s">
        <v>614</v>
      </c>
      <c r="D53">
        <v>4000.01</v>
      </c>
      <c r="N53" s="15">
        <f t="shared" si="0"/>
        <v>45075</v>
      </c>
      <c r="O53" s="114">
        <v>45075</v>
      </c>
      <c r="S53">
        <v>29</v>
      </c>
    </row>
    <row r="54" spans="1:19" ht="12.75" x14ac:dyDescent="0.2">
      <c r="A54" s="113" t="s">
        <v>615</v>
      </c>
      <c r="B54" s="114">
        <v>45016</v>
      </c>
      <c r="C54" s="113" t="s">
        <v>616</v>
      </c>
      <c r="D54">
        <v>1750</v>
      </c>
      <c r="N54" s="15">
        <f t="shared" si="0"/>
        <v>45076</v>
      </c>
      <c r="O54" s="114">
        <v>45076</v>
      </c>
      <c r="S54">
        <v>29</v>
      </c>
    </row>
    <row r="55" spans="1:19" ht="12.75" x14ac:dyDescent="0.2">
      <c r="A55" s="113" t="s">
        <v>617</v>
      </c>
      <c r="B55" s="114">
        <v>45016</v>
      </c>
      <c r="C55" s="113" t="s">
        <v>618</v>
      </c>
      <c r="D55">
        <v>900</v>
      </c>
      <c r="N55" s="15">
        <f t="shared" si="0"/>
        <v>45077</v>
      </c>
      <c r="O55" s="114">
        <v>45077</v>
      </c>
      <c r="S55">
        <v>29</v>
      </c>
    </row>
    <row r="56" spans="1:19" ht="12.75" x14ac:dyDescent="0.2">
      <c r="A56" s="113" t="s">
        <v>619</v>
      </c>
      <c r="B56" s="114">
        <v>45016</v>
      </c>
      <c r="C56" s="113" t="s">
        <v>620</v>
      </c>
      <c r="D56">
        <v>193.82</v>
      </c>
      <c r="N56" s="15">
        <f t="shared" si="0"/>
        <v>45078</v>
      </c>
      <c r="O56" s="114">
        <v>45078</v>
      </c>
      <c r="S56">
        <v>29</v>
      </c>
    </row>
    <row r="57" spans="1:19" ht="12.75" x14ac:dyDescent="0.2">
      <c r="A57" s="113" t="s">
        <v>621</v>
      </c>
      <c r="B57" s="114">
        <v>45012</v>
      </c>
      <c r="C57" s="113" t="s">
        <v>622</v>
      </c>
      <c r="D57">
        <v>262.27999999999997</v>
      </c>
      <c r="N57" s="15">
        <f t="shared" si="0"/>
        <v>45079</v>
      </c>
      <c r="O57" s="114">
        <v>45079</v>
      </c>
      <c r="S57">
        <v>29</v>
      </c>
    </row>
    <row r="58" spans="1:19" ht="12.75" x14ac:dyDescent="0.2">
      <c r="A58" s="113" t="s">
        <v>623</v>
      </c>
      <c r="B58" s="114">
        <v>45006</v>
      </c>
      <c r="C58" s="113" t="s">
        <v>624</v>
      </c>
      <c r="D58">
        <v>2918.84</v>
      </c>
      <c r="N58" s="15">
        <f t="shared" si="0"/>
        <v>45080</v>
      </c>
      <c r="O58" s="114">
        <v>45080</v>
      </c>
      <c r="S58">
        <v>69</v>
      </c>
    </row>
    <row r="59" spans="1:19" ht="12.75" x14ac:dyDescent="0.2">
      <c r="A59" s="113" t="s">
        <v>625</v>
      </c>
      <c r="B59" s="114">
        <v>45016</v>
      </c>
      <c r="C59" s="113" t="s">
        <v>626</v>
      </c>
      <c r="D59">
        <v>9568.67</v>
      </c>
      <c r="N59" s="15">
        <f>+O59</f>
        <v>45081</v>
      </c>
      <c r="O59" s="114">
        <v>45081</v>
      </c>
      <c r="S59">
        <v>69</v>
      </c>
    </row>
    <row r="60" spans="1:19" ht="12.75" x14ac:dyDescent="0.2">
      <c r="A60" s="113" t="s">
        <v>627</v>
      </c>
      <c r="B60" s="114">
        <v>45016</v>
      </c>
      <c r="C60" s="113" t="s">
        <v>628</v>
      </c>
      <c r="D60">
        <v>1312.85</v>
      </c>
      <c r="N60" s="15">
        <f t="shared" si="0"/>
        <v>45082</v>
      </c>
      <c r="O60" s="114">
        <v>45082</v>
      </c>
      <c r="S60">
        <v>69</v>
      </c>
    </row>
    <row r="61" spans="1:19" ht="12.75" x14ac:dyDescent="0.2">
      <c r="A61" s="113" t="s">
        <v>629</v>
      </c>
      <c r="B61" s="114">
        <v>44967</v>
      </c>
      <c r="C61" s="113" t="s">
        <v>630</v>
      </c>
      <c r="D61">
        <v>3049.2</v>
      </c>
      <c r="N61" s="15">
        <f t="shared" si="0"/>
        <v>45083</v>
      </c>
      <c r="O61" s="114">
        <v>45083</v>
      </c>
      <c r="S61">
        <v>69</v>
      </c>
    </row>
    <row r="62" spans="1:19" ht="12.75" x14ac:dyDescent="0.2">
      <c r="A62" s="113" t="s">
        <v>631</v>
      </c>
      <c r="B62" s="114">
        <v>44982</v>
      </c>
      <c r="C62" s="113" t="s">
        <v>632</v>
      </c>
      <c r="D62">
        <v>341.51</v>
      </c>
      <c r="N62" s="15">
        <f t="shared" si="0"/>
        <v>45084</v>
      </c>
      <c r="O62" s="114">
        <v>45084</v>
      </c>
      <c r="S62">
        <v>69</v>
      </c>
    </row>
    <row r="63" spans="1:19" ht="12.75" x14ac:dyDescent="0.2">
      <c r="A63" s="113" t="s">
        <v>633</v>
      </c>
      <c r="B63" s="114">
        <v>44980</v>
      </c>
      <c r="C63" s="113" t="s">
        <v>634</v>
      </c>
      <c r="D63">
        <v>1516.26</v>
      </c>
      <c r="N63" s="15">
        <f t="shared" si="0"/>
        <v>45085</v>
      </c>
      <c r="O63" s="114">
        <v>45085</v>
      </c>
      <c r="S63">
        <v>69</v>
      </c>
    </row>
    <row r="64" spans="1:19" ht="12.75" x14ac:dyDescent="0.2">
      <c r="A64" s="113" t="s">
        <v>635</v>
      </c>
      <c r="B64" s="114">
        <v>44977</v>
      </c>
      <c r="C64" s="113" t="s">
        <v>636</v>
      </c>
      <c r="D64">
        <v>358.76</v>
      </c>
      <c r="N64" s="15">
        <f t="shared" si="0"/>
        <v>45086</v>
      </c>
      <c r="O64" s="114">
        <v>45086</v>
      </c>
      <c r="S64">
        <v>69</v>
      </c>
    </row>
    <row r="65" spans="1:19" ht="12.75" x14ac:dyDescent="0.2">
      <c r="A65" s="113" t="s">
        <v>637</v>
      </c>
      <c r="B65" s="114">
        <v>44954</v>
      </c>
      <c r="C65" s="113" t="s">
        <v>638</v>
      </c>
      <c r="D65">
        <v>656.57</v>
      </c>
      <c r="N65" s="15">
        <f t="shared" si="0"/>
        <v>45087</v>
      </c>
      <c r="O65" s="114">
        <v>45087</v>
      </c>
      <c r="S65">
        <v>69</v>
      </c>
    </row>
    <row r="66" spans="1:19" ht="12.75" x14ac:dyDescent="0.2">
      <c r="A66" s="113" t="s">
        <v>639</v>
      </c>
      <c r="B66" s="114">
        <v>44965</v>
      </c>
      <c r="C66" s="113" t="s">
        <v>640</v>
      </c>
      <c r="D66">
        <v>188</v>
      </c>
      <c r="N66" s="15">
        <f t="shared" si="0"/>
        <v>45088</v>
      </c>
      <c r="O66" s="114">
        <v>45088</v>
      </c>
      <c r="S66">
        <v>69</v>
      </c>
    </row>
    <row r="67" spans="1:19" ht="12.75" x14ac:dyDescent="0.2">
      <c r="A67" s="113" t="s">
        <v>641</v>
      </c>
      <c r="B67" s="114">
        <v>44956</v>
      </c>
      <c r="C67" s="113" t="s">
        <v>642</v>
      </c>
      <c r="D67">
        <v>343.09</v>
      </c>
      <c r="N67" s="15">
        <f t="shared" si="0"/>
        <v>45089</v>
      </c>
      <c r="O67" s="114">
        <v>45089</v>
      </c>
      <c r="S67">
        <v>69</v>
      </c>
    </row>
    <row r="68" spans="1:19" ht="12.75" x14ac:dyDescent="0.2">
      <c r="A68" s="113" t="s">
        <v>643</v>
      </c>
      <c r="B68" s="114">
        <v>44951</v>
      </c>
      <c r="C68" s="113" t="s">
        <v>644</v>
      </c>
      <c r="D68" s="186">
        <v>184.62</v>
      </c>
      <c r="N68" s="15">
        <f t="shared" si="0"/>
        <v>45090</v>
      </c>
      <c r="O68" s="114">
        <v>45090</v>
      </c>
      <c r="S68">
        <v>69</v>
      </c>
    </row>
    <row r="69" spans="1:19" x14ac:dyDescent="0.2">
      <c r="D69" s="8">
        <f>SUM(D8:D68)</f>
        <v>55046.53</v>
      </c>
    </row>
    <row r="72" spans="1:19" x14ac:dyDescent="0.2">
      <c r="G72" s="2">
        <f>SUM(D8:D12)</f>
        <v>1515.22</v>
      </c>
      <c r="H72" s="2">
        <v>21</v>
      </c>
      <c r="I72" s="2">
        <v>5</v>
      </c>
    </row>
    <row r="73" spans="1:19" x14ac:dyDescent="0.2">
      <c r="G73" s="2">
        <f>SUM(D13:D23)</f>
        <v>3705.89</v>
      </c>
      <c r="H73" s="2">
        <v>22</v>
      </c>
      <c r="I73" s="2">
        <v>11</v>
      </c>
    </row>
    <row r="74" spans="1:19" x14ac:dyDescent="0.2">
      <c r="G74" s="2">
        <f>SUM(D24:D57)</f>
        <v>29387.050000000003</v>
      </c>
      <c r="H74" s="2">
        <v>29</v>
      </c>
      <c r="I74" s="2">
        <v>35</v>
      </c>
    </row>
    <row r="75" spans="1:19" x14ac:dyDescent="0.2">
      <c r="G75" s="118">
        <f>SUM(D58:D68)</f>
        <v>20438.369999999995</v>
      </c>
      <c r="H75" s="2">
        <v>69</v>
      </c>
      <c r="I75" s="2">
        <v>11</v>
      </c>
    </row>
    <row r="76" spans="1:19" x14ac:dyDescent="0.2">
      <c r="G76" s="2">
        <f>SUM(G72:G75)</f>
        <v>55046.53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Orria4">
    <tabColor indexed="42"/>
  </sheetPr>
  <dimension ref="A1:V56"/>
  <sheetViews>
    <sheetView zoomScaleNormal="100" workbookViewId="0">
      <pane ySplit="7" topLeftCell="A8" activePane="bottomLeft" state="frozen"/>
      <selection pane="bottomLeft" activeCell="P2" sqref="P2"/>
    </sheetView>
  </sheetViews>
  <sheetFormatPr defaultRowHeight="11.25" x14ac:dyDescent="0.2"/>
  <cols>
    <col min="1" max="1" width="16.7109375" style="2" customWidth="1"/>
    <col min="2" max="2" width="10.140625" style="15" bestFit="1" customWidth="1"/>
    <col min="3" max="3" width="9.140625" style="2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17" style="2" bestFit="1" customWidth="1"/>
    <col min="11" max="11" width="10.7109375" style="15" bestFit="1" customWidth="1"/>
    <col min="12" max="12" width="9.140625" style="15"/>
    <col min="13" max="14" width="10.140625" style="15" bestFit="1" customWidth="1"/>
    <col min="15" max="15" width="9.140625" style="10"/>
    <col min="16" max="16" width="9.85546875" style="10" bestFit="1" customWidth="1"/>
    <col min="17" max="17" width="9.85546875" style="2" bestFit="1" customWidth="1"/>
    <col min="18" max="19" width="15.5703125" style="8" bestFit="1" customWidth="1"/>
    <col min="20" max="16384" width="9.140625" style="2"/>
  </cols>
  <sheetData>
    <row r="1" spans="1:22" x14ac:dyDescent="0.2">
      <c r="A1" s="3" t="s">
        <v>90</v>
      </c>
      <c r="B1" s="17"/>
      <c r="C1" s="4"/>
      <c r="D1" s="7"/>
      <c r="E1" s="4"/>
      <c r="F1" s="4"/>
      <c r="G1" s="4"/>
      <c r="K1" s="2"/>
      <c r="O1" s="10" t="s">
        <v>89</v>
      </c>
      <c r="P1" s="106">
        <v>45016</v>
      </c>
    </row>
    <row r="2" spans="1:22" x14ac:dyDescent="0.2">
      <c r="A2" s="3"/>
      <c r="B2" s="17"/>
      <c r="C2" s="4"/>
      <c r="D2" s="7"/>
      <c r="E2" s="4"/>
      <c r="F2" s="4"/>
      <c r="G2" s="4"/>
      <c r="I2" s="4"/>
      <c r="J2" s="4"/>
      <c r="K2" s="4"/>
      <c r="O2" s="15"/>
    </row>
    <row r="3" spans="1:22" x14ac:dyDescent="0.2">
      <c r="A3" s="3"/>
      <c r="B3" s="17"/>
      <c r="C3" s="4"/>
      <c r="D3" s="7"/>
      <c r="E3" s="4"/>
      <c r="F3" s="4"/>
      <c r="G3" s="4"/>
      <c r="K3" s="2"/>
      <c r="O3" s="15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  <c r="P4" s="15"/>
    </row>
    <row r="5" spans="1:22" x14ac:dyDescent="0.2">
      <c r="A5" s="3"/>
      <c r="B5" s="17"/>
      <c r="C5" s="4"/>
      <c r="D5" s="7"/>
      <c r="E5" s="4"/>
      <c r="F5" s="4"/>
      <c r="G5" s="4"/>
      <c r="H5" s="4"/>
      <c r="I5" s="4"/>
      <c r="J5" s="4"/>
      <c r="P5" s="15"/>
    </row>
    <row r="7" spans="1:22" ht="38.25" customHeight="1" x14ac:dyDescent="0.2">
      <c r="A7" s="5" t="s">
        <v>70</v>
      </c>
      <c r="B7" s="18" t="s">
        <v>71</v>
      </c>
      <c r="C7" s="6" t="s">
        <v>72</v>
      </c>
      <c r="D7" s="9" t="s">
        <v>57</v>
      </c>
      <c r="E7" s="5" t="s">
        <v>73</v>
      </c>
      <c r="F7" s="6" t="s">
        <v>74</v>
      </c>
      <c r="G7" s="6" t="s">
        <v>75</v>
      </c>
      <c r="H7" s="6" t="s">
        <v>8</v>
      </c>
      <c r="I7" s="6" t="s">
        <v>9</v>
      </c>
      <c r="J7" s="6" t="s">
        <v>7</v>
      </c>
      <c r="K7" s="16" t="s">
        <v>76</v>
      </c>
      <c r="L7" s="16" t="s">
        <v>77</v>
      </c>
      <c r="M7" s="16" t="s">
        <v>78</v>
      </c>
      <c r="N7" s="16" t="s">
        <v>79</v>
      </c>
      <c r="O7" s="12" t="s">
        <v>88</v>
      </c>
      <c r="P7" s="14" t="s">
        <v>56</v>
      </c>
      <c r="Q7" s="2" t="s">
        <v>10</v>
      </c>
      <c r="R7" s="8" t="s">
        <v>84</v>
      </c>
      <c r="S7" s="8" t="s">
        <v>85</v>
      </c>
      <c r="T7" s="2" t="s">
        <v>86</v>
      </c>
    </row>
    <row r="8" spans="1:22" customFormat="1" ht="12.75" x14ac:dyDescent="0.2">
      <c r="A8" s="113"/>
      <c r="B8" s="114"/>
      <c r="C8" s="113"/>
      <c r="D8" s="116"/>
      <c r="K8" s="114"/>
      <c r="L8" s="115"/>
      <c r="M8" s="115"/>
      <c r="N8" s="114"/>
      <c r="O8" s="117"/>
      <c r="P8" s="117"/>
      <c r="Q8" s="117"/>
      <c r="R8" s="117"/>
      <c r="T8" s="116"/>
      <c r="U8" s="116"/>
      <c r="V8" s="105"/>
    </row>
    <row r="9" spans="1:22" ht="12.75" x14ac:dyDescent="0.2">
      <c r="A9" s="113"/>
      <c r="B9" s="114"/>
      <c r="C9" s="113"/>
      <c r="D9"/>
      <c r="K9" s="114"/>
      <c r="N9" s="114"/>
      <c r="Q9" s="10"/>
      <c r="R9" s="10"/>
      <c r="S9"/>
      <c r="T9" s="8"/>
      <c r="U9" s="8"/>
      <c r="V9" s="105"/>
    </row>
    <row r="10" spans="1:22" ht="12.75" x14ac:dyDescent="0.2">
      <c r="A10" s="113"/>
      <c r="B10" s="114"/>
      <c r="C10" s="113"/>
      <c r="D10"/>
      <c r="K10" s="114"/>
      <c r="N10" s="114"/>
      <c r="Q10" s="10"/>
      <c r="R10" s="10"/>
      <c r="S10"/>
      <c r="T10" s="8"/>
      <c r="U10" s="8"/>
      <c r="V10" s="105"/>
    </row>
    <row r="11" spans="1:22" ht="12.75" x14ac:dyDescent="0.2">
      <c r="A11" s="113"/>
      <c r="B11" s="114"/>
      <c r="C11" s="113"/>
      <c r="D11"/>
      <c r="K11" s="114"/>
      <c r="N11" s="114"/>
      <c r="Q11" s="10"/>
      <c r="R11" s="10"/>
      <c r="S11"/>
      <c r="T11" s="8"/>
      <c r="U11" s="8"/>
      <c r="V11" s="105"/>
    </row>
    <row r="12" spans="1:22" ht="12.75" x14ac:dyDescent="0.2">
      <c r="A12" s="113"/>
      <c r="B12" s="114"/>
      <c r="C12" s="113"/>
      <c r="D12"/>
      <c r="K12" s="114"/>
      <c r="N12" s="114"/>
      <c r="Q12" s="10"/>
      <c r="R12" s="10"/>
      <c r="S12"/>
      <c r="T12" s="8"/>
      <c r="U12" s="8"/>
      <c r="V12" s="105"/>
    </row>
    <row r="13" spans="1:22" ht="12.75" x14ac:dyDescent="0.2">
      <c r="A13" s="113"/>
      <c r="B13" s="114"/>
      <c r="C13" s="113"/>
      <c r="D13"/>
      <c r="K13" s="114"/>
      <c r="N13" s="114"/>
      <c r="Q13" s="10"/>
      <c r="R13" s="10"/>
      <c r="S13"/>
      <c r="T13" s="8"/>
      <c r="U13" s="8"/>
      <c r="V13" s="105"/>
    </row>
    <row r="14" spans="1:22" ht="12.75" x14ac:dyDescent="0.2">
      <c r="A14" s="113"/>
      <c r="B14" s="114"/>
      <c r="C14" s="113"/>
      <c r="D14"/>
      <c r="K14" s="114"/>
      <c r="N14" s="114"/>
      <c r="Q14" s="10"/>
      <c r="R14" s="10"/>
      <c r="S14" s="2"/>
      <c r="T14" s="8"/>
      <c r="U14" s="8"/>
      <c r="V14" s="105"/>
    </row>
    <row r="15" spans="1:22" ht="12.75" x14ac:dyDescent="0.2">
      <c r="A15" s="113"/>
      <c r="B15" s="114"/>
      <c r="C15" s="113"/>
      <c r="D15"/>
      <c r="K15" s="114"/>
      <c r="N15" s="114"/>
      <c r="Q15" s="10"/>
      <c r="R15" s="10"/>
      <c r="S15" s="2"/>
      <c r="T15" s="8"/>
      <c r="U15" s="8"/>
      <c r="V15" s="105"/>
    </row>
    <row r="16" spans="1:22" ht="12.75" x14ac:dyDescent="0.2">
      <c r="A16" s="113"/>
      <c r="B16" s="114"/>
      <c r="C16" s="113"/>
      <c r="D16"/>
      <c r="K16" s="114"/>
      <c r="N16" s="114"/>
      <c r="Q16" s="10"/>
      <c r="R16" s="10"/>
      <c r="S16" s="2"/>
      <c r="T16" s="8"/>
      <c r="U16" s="8"/>
      <c r="V16" s="105"/>
    </row>
    <row r="17" spans="1:22" ht="12.75" x14ac:dyDescent="0.2">
      <c r="A17" s="113"/>
      <c r="B17" s="114"/>
      <c r="C17" s="113"/>
      <c r="D17"/>
      <c r="K17" s="114"/>
      <c r="N17" s="114"/>
      <c r="Q17" s="10"/>
      <c r="R17" s="10"/>
      <c r="S17" s="2"/>
      <c r="T17" s="8"/>
      <c r="U17" s="8"/>
      <c r="V17" s="105"/>
    </row>
    <row r="18" spans="1:22" ht="12.75" x14ac:dyDescent="0.2">
      <c r="A18" s="113"/>
      <c r="B18" s="114"/>
      <c r="C18" s="113"/>
      <c r="D18"/>
      <c r="K18" s="114"/>
      <c r="N18" s="114"/>
      <c r="Q18" s="10"/>
      <c r="R18" s="10"/>
      <c r="S18" s="2"/>
      <c r="T18" s="8"/>
      <c r="U18" s="8"/>
      <c r="V18" s="105"/>
    </row>
    <row r="19" spans="1:22" ht="12.75" x14ac:dyDescent="0.2">
      <c r="A19" s="113"/>
      <c r="B19" s="114"/>
      <c r="C19" s="113"/>
      <c r="D19"/>
      <c r="K19" s="114"/>
      <c r="N19" s="114"/>
      <c r="Q19" s="10"/>
      <c r="R19" s="10"/>
      <c r="S19" s="2"/>
      <c r="T19" s="8"/>
      <c r="U19" s="8"/>
      <c r="V19" s="105"/>
    </row>
    <row r="20" spans="1:22" ht="12.75" x14ac:dyDescent="0.2">
      <c r="A20" s="113"/>
      <c r="B20" s="114"/>
      <c r="C20" s="113"/>
      <c r="D20"/>
      <c r="K20" s="114"/>
      <c r="N20" s="114"/>
      <c r="Q20" s="10"/>
      <c r="R20" s="10"/>
      <c r="S20" s="2"/>
      <c r="T20" s="8"/>
      <c r="U20" s="8"/>
      <c r="V20" s="105"/>
    </row>
    <row r="21" spans="1:22" ht="12.75" x14ac:dyDescent="0.2">
      <c r="A21" s="113"/>
      <c r="B21" s="114"/>
      <c r="C21" s="113"/>
      <c r="D21"/>
      <c r="K21" s="114"/>
      <c r="N21" s="114"/>
      <c r="Q21" s="10"/>
      <c r="R21" s="10"/>
      <c r="S21" s="2"/>
      <c r="T21" s="8"/>
      <c r="U21" s="8"/>
      <c r="V21" s="105"/>
    </row>
    <row r="22" spans="1:22" ht="12.75" x14ac:dyDescent="0.2">
      <c r="A22" s="113"/>
      <c r="B22" s="114"/>
      <c r="C22" s="113"/>
      <c r="D22"/>
      <c r="K22" s="114"/>
      <c r="N22" s="114"/>
      <c r="Q22" s="10"/>
      <c r="R22" s="10"/>
      <c r="S22" s="2"/>
      <c r="T22" s="8"/>
      <c r="U22" s="8"/>
      <c r="V22" s="105"/>
    </row>
    <row r="23" spans="1:22" ht="12.75" x14ac:dyDescent="0.2">
      <c r="A23" s="113"/>
      <c r="B23" s="114"/>
      <c r="C23" s="113"/>
      <c r="D23"/>
      <c r="K23" s="114"/>
      <c r="N23" s="114"/>
      <c r="Q23" s="10"/>
      <c r="R23" s="10"/>
      <c r="S23" s="2"/>
      <c r="T23" s="8"/>
      <c r="U23" s="8"/>
      <c r="V23" s="105"/>
    </row>
    <row r="24" spans="1:22" ht="12.75" x14ac:dyDescent="0.2">
      <c r="A24" s="113"/>
      <c r="B24" s="114"/>
      <c r="C24" s="113"/>
      <c r="D24"/>
      <c r="K24" s="114"/>
      <c r="N24" s="114"/>
      <c r="Q24" s="10"/>
      <c r="R24" s="10"/>
      <c r="S24" s="2"/>
      <c r="T24" s="8"/>
      <c r="U24" s="8"/>
      <c r="V24" s="105"/>
    </row>
    <row r="25" spans="1:22" ht="12.75" x14ac:dyDescent="0.2">
      <c r="A25" s="113"/>
      <c r="B25" s="114"/>
      <c r="C25" s="113"/>
      <c r="D25"/>
      <c r="K25" s="114"/>
      <c r="N25" s="114"/>
      <c r="Q25" s="10"/>
      <c r="R25" s="10"/>
      <c r="S25" s="2"/>
      <c r="T25" s="8"/>
      <c r="U25" s="8"/>
      <c r="V25" s="105"/>
    </row>
    <row r="26" spans="1:22" ht="12.75" x14ac:dyDescent="0.2">
      <c r="A26" s="113"/>
      <c r="B26" s="114"/>
      <c r="C26" s="113"/>
      <c r="D26"/>
      <c r="K26" s="114"/>
      <c r="N26" s="114"/>
      <c r="Q26" s="10"/>
      <c r="R26" s="10"/>
      <c r="S26" s="2"/>
      <c r="T26" s="8"/>
      <c r="U26" s="8"/>
      <c r="V26" s="105"/>
    </row>
    <row r="27" spans="1:22" ht="12.75" x14ac:dyDescent="0.2">
      <c r="A27" s="113"/>
      <c r="B27" s="114"/>
      <c r="C27" s="113"/>
      <c r="D27"/>
      <c r="K27" s="114"/>
      <c r="N27" s="114"/>
      <c r="Q27" s="10"/>
      <c r="R27" s="10"/>
      <c r="S27" s="2"/>
      <c r="T27" s="8"/>
      <c r="U27" s="8"/>
      <c r="V27" s="105"/>
    </row>
    <row r="28" spans="1:22" ht="12.75" x14ac:dyDescent="0.2">
      <c r="A28" s="113"/>
      <c r="B28" s="114"/>
      <c r="C28" s="113"/>
      <c r="D28"/>
      <c r="K28" s="114"/>
      <c r="N28" s="114"/>
      <c r="Q28" s="10"/>
      <c r="R28" s="10"/>
      <c r="S28" s="2"/>
      <c r="T28" s="8"/>
      <c r="U28" s="8"/>
      <c r="V28" s="105"/>
    </row>
    <row r="29" spans="1:22" ht="12.75" x14ac:dyDescent="0.2">
      <c r="A29" s="113"/>
      <c r="B29" s="114"/>
      <c r="C29" s="113"/>
      <c r="D29"/>
      <c r="K29" s="114"/>
      <c r="N29" s="114"/>
      <c r="Q29" s="10"/>
      <c r="R29" s="10"/>
      <c r="S29" s="2"/>
      <c r="T29" s="8"/>
      <c r="U29" s="8"/>
      <c r="V29" s="105"/>
    </row>
    <row r="30" spans="1:22" ht="12.75" x14ac:dyDescent="0.2">
      <c r="A30" s="113"/>
      <c r="B30" s="114"/>
      <c r="C30" s="113"/>
      <c r="D30"/>
      <c r="K30" s="114"/>
      <c r="N30" s="114"/>
      <c r="Q30" s="10"/>
      <c r="R30" s="10"/>
      <c r="S30" s="2"/>
      <c r="T30" s="8"/>
      <c r="U30" s="8"/>
      <c r="V30" s="105"/>
    </row>
    <row r="31" spans="1:22" ht="12.75" x14ac:dyDescent="0.2">
      <c r="A31" s="113"/>
      <c r="B31" s="114"/>
      <c r="C31" s="113"/>
      <c r="D31"/>
      <c r="K31" s="114"/>
      <c r="N31" s="114"/>
      <c r="Q31" s="10"/>
      <c r="R31" s="10"/>
      <c r="S31" s="2"/>
      <c r="T31" s="8"/>
      <c r="U31" s="8"/>
      <c r="V31" s="105"/>
    </row>
    <row r="32" spans="1:22" ht="12.75" x14ac:dyDescent="0.2">
      <c r="A32" s="113"/>
      <c r="B32" s="114"/>
      <c r="C32" s="113"/>
      <c r="D32"/>
      <c r="K32" s="114"/>
      <c r="N32" s="114"/>
      <c r="Q32" s="10"/>
      <c r="R32" s="10"/>
      <c r="S32" s="2"/>
      <c r="T32" s="8"/>
      <c r="U32" s="8"/>
      <c r="V32" s="105"/>
    </row>
    <row r="33" spans="1:22" ht="12.75" x14ac:dyDescent="0.2">
      <c r="A33" s="113"/>
      <c r="B33" s="114"/>
      <c r="C33" s="113"/>
      <c r="D33"/>
      <c r="K33" s="114"/>
      <c r="N33" s="114"/>
      <c r="Q33" s="10"/>
      <c r="R33" s="10"/>
      <c r="S33" s="2"/>
      <c r="T33" s="8"/>
      <c r="U33" s="8"/>
      <c r="V33" s="105"/>
    </row>
    <row r="34" spans="1:22" ht="12.75" x14ac:dyDescent="0.2">
      <c r="A34" s="113"/>
      <c r="B34" s="114"/>
      <c r="C34" s="113"/>
      <c r="D34"/>
      <c r="K34" s="114"/>
      <c r="N34" s="114"/>
      <c r="Q34" s="10"/>
      <c r="R34" s="10"/>
      <c r="S34" s="2"/>
      <c r="T34" s="8"/>
      <c r="U34" s="8"/>
      <c r="V34" s="105"/>
    </row>
    <row r="35" spans="1:22" ht="12.75" x14ac:dyDescent="0.2">
      <c r="A35" s="113"/>
      <c r="B35" s="114"/>
      <c r="C35" s="113"/>
      <c r="D35"/>
      <c r="K35" s="114"/>
      <c r="N35" s="114"/>
      <c r="Q35" s="10"/>
      <c r="R35" s="10"/>
      <c r="S35" s="2"/>
      <c r="T35" s="8"/>
      <c r="U35" s="8"/>
      <c r="V35" s="105"/>
    </row>
    <row r="36" spans="1:22" ht="15" x14ac:dyDescent="0.25">
      <c r="A36" s="113"/>
      <c r="B36" s="114"/>
      <c r="C36" s="113"/>
      <c r="D36"/>
      <c r="K36" s="114"/>
      <c r="M36" s="110"/>
      <c r="N36" s="114"/>
      <c r="Q36" s="10"/>
      <c r="R36" s="10"/>
      <c r="S36" s="2"/>
      <c r="T36" s="8"/>
      <c r="U36" s="8"/>
      <c r="V36" s="105"/>
    </row>
    <row r="37" spans="1:22" ht="15" x14ac:dyDescent="0.25">
      <c r="A37" s="113"/>
      <c r="B37" s="114"/>
      <c r="C37" s="113"/>
      <c r="D37"/>
      <c r="K37" s="114"/>
      <c r="M37" s="110"/>
      <c r="N37" s="114"/>
      <c r="Q37" s="10"/>
      <c r="R37" s="10"/>
      <c r="S37" s="2"/>
      <c r="T37" s="8"/>
      <c r="U37" s="8"/>
      <c r="V37" s="105"/>
    </row>
    <row r="38" spans="1:22" ht="15" x14ac:dyDescent="0.25">
      <c r="A38" s="113"/>
      <c r="B38" s="114"/>
      <c r="C38" s="113"/>
      <c r="D38"/>
      <c r="K38" s="114"/>
      <c r="M38" s="110"/>
      <c r="N38" s="114"/>
      <c r="Q38" s="10"/>
      <c r="R38" s="10"/>
      <c r="S38" s="2"/>
      <c r="T38" s="8"/>
      <c r="U38" s="8"/>
      <c r="V38" s="105"/>
    </row>
    <row r="39" spans="1:22" ht="15" x14ac:dyDescent="0.25">
      <c r="A39" s="113"/>
      <c r="B39" s="114"/>
      <c r="C39" s="113"/>
      <c r="D39"/>
      <c r="K39" s="114"/>
      <c r="M39" s="110"/>
      <c r="N39" s="114"/>
      <c r="Q39" s="10"/>
      <c r="R39" s="10"/>
      <c r="S39" s="2"/>
      <c r="T39" s="8"/>
      <c r="U39" s="8"/>
      <c r="V39" s="105"/>
    </row>
    <row r="40" spans="1:22" ht="15" x14ac:dyDescent="0.25">
      <c r="A40" s="113"/>
      <c r="B40" s="114"/>
      <c r="C40" s="113"/>
      <c r="D40"/>
      <c r="K40" s="114"/>
      <c r="M40" s="110"/>
      <c r="N40" s="114"/>
      <c r="Q40" s="10"/>
      <c r="R40" s="10"/>
      <c r="S40" s="2"/>
      <c r="T40" s="8"/>
      <c r="U40" s="8"/>
      <c r="V40" s="105"/>
    </row>
    <row r="41" spans="1:22" x14ac:dyDescent="0.2">
      <c r="Q41" s="10"/>
      <c r="R41" s="10"/>
      <c r="S41" s="2"/>
      <c r="T41" s="8"/>
      <c r="U41" s="8"/>
    </row>
    <row r="42" spans="1:22" x14ac:dyDescent="0.2">
      <c r="Q42" s="10"/>
      <c r="R42" s="10"/>
      <c r="S42" s="2"/>
      <c r="T42" s="8"/>
      <c r="U42" s="8"/>
    </row>
    <row r="43" spans="1:22" ht="15" x14ac:dyDescent="0.25">
      <c r="A43" s="107"/>
      <c r="B43" s="108"/>
      <c r="C43" s="107"/>
      <c r="D43" s="112"/>
      <c r="F43" s="107"/>
      <c r="K43" s="108"/>
      <c r="M43" s="110"/>
      <c r="N43" s="110"/>
      <c r="Q43" s="10"/>
      <c r="R43" s="10"/>
      <c r="S43" s="2"/>
      <c r="T43" s="8"/>
    </row>
    <row r="44" spans="1:22" ht="15" x14ac:dyDescent="0.25">
      <c r="A44" s="107"/>
      <c r="B44" s="108"/>
      <c r="C44" s="107"/>
      <c r="D44" s="112"/>
      <c r="F44" s="107"/>
      <c r="K44" s="108"/>
      <c r="M44" s="110"/>
      <c r="N44" s="110"/>
      <c r="Q44" s="10"/>
      <c r="R44" s="10"/>
      <c r="S44" s="2"/>
      <c r="T44" s="8"/>
      <c r="U44" s="8"/>
    </row>
    <row r="45" spans="1:22" ht="15" x14ac:dyDescent="0.25">
      <c r="A45" s="107"/>
      <c r="B45" s="108"/>
      <c r="C45" s="107"/>
      <c r="D45" s="112"/>
      <c r="F45" s="107"/>
      <c r="K45" s="108"/>
      <c r="M45" s="110"/>
      <c r="N45" s="110"/>
      <c r="Q45" s="10"/>
      <c r="R45" s="10"/>
      <c r="S45" s="2"/>
      <c r="T45" s="8"/>
      <c r="U45" s="8"/>
    </row>
    <row r="46" spans="1:22" ht="15" x14ac:dyDescent="0.25">
      <c r="A46" s="107"/>
      <c r="B46" s="108"/>
      <c r="C46" s="107"/>
      <c r="D46" s="112"/>
      <c r="F46" s="107"/>
      <c r="K46" s="108"/>
      <c r="M46" s="110"/>
      <c r="N46" s="108"/>
      <c r="Q46" s="10"/>
      <c r="R46" s="10"/>
      <c r="S46" s="2"/>
      <c r="T46" s="8"/>
      <c r="U46" s="8"/>
    </row>
    <row r="47" spans="1:22" ht="15" x14ac:dyDescent="0.25">
      <c r="A47" s="107"/>
      <c r="B47" s="108"/>
      <c r="C47" s="107"/>
      <c r="D47" s="109"/>
      <c r="F47" s="107"/>
      <c r="K47" s="108"/>
      <c r="M47" s="110"/>
      <c r="N47" s="108"/>
      <c r="Q47" s="10"/>
      <c r="R47" s="10"/>
      <c r="S47" s="2"/>
      <c r="T47" s="8"/>
      <c r="U47" s="8"/>
    </row>
    <row r="48" spans="1:22" ht="15" x14ac:dyDescent="0.25">
      <c r="A48" s="107"/>
      <c r="B48" s="108"/>
      <c r="C48" s="107"/>
      <c r="D48" s="109"/>
      <c r="F48" s="107"/>
      <c r="K48" s="108"/>
      <c r="M48" s="110"/>
      <c r="N48" s="108"/>
      <c r="Q48" s="10"/>
      <c r="R48" s="10"/>
      <c r="S48" s="2"/>
      <c r="T48" s="8"/>
      <c r="U48" s="8"/>
    </row>
    <row r="49" spans="1:21" ht="15" x14ac:dyDescent="0.25">
      <c r="A49" s="107"/>
      <c r="B49" s="108"/>
      <c r="C49" s="107"/>
      <c r="D49" s="109"/>
      <c r="F49" s="107"/>
      <c r="K49" s="108"/>
      <c r="M49" s="110"/>
      <c r="N49" s="108"/>
      <c r="Q49" s="10"/>
      <c r="R49" s="10"/>
      <c r="S49" s="2"/>
      <c r="T49" s="8"/>
      <c r="U49" s="8"/>
    </row>
    <row r="50" spans="1:21" ht="15" x14ac:dyDescent="0.25">
      <c r="A50" s="107"/>
      <c r="B50" s="108"/>
      <c r="C50" s="107"/>
      <c r="D50" s="109"/>
      <c r="F50" s="107"/>
      <c r="K50" s="108"/>
      <c r="M50" s="110"/>
      <c r="N50" s="108"/>
      <c r="Q50" s="10"/>
      <c r="R50" s="10"/>
      <c r="S50" s="2"/>
      <c r="T50" s="8"/>
      <c r="U50" s="8"/>
    </row>
    <row r="51" spans="1:21" ht="15" x14ac:dyDescent="0.25">
      <c r="A51" s="107"/>
      <c r="B51" s="108"/>
      <c r="C51" s="107"/>
      <c r="D51" s="109"/>
      <c r="F51" s="107"/>
      <c r="K51" s="108"/>
      <c r="M51" s="110"/>
      <c r="N51" s="108"/>
      <c r="Q51" s="10"/>
      <c r="R51" s="10"/>
      <c r="S51" s="2"/>
      <c r="T51" s="8"/>
      <c r="U51" s="8"/>
    </row>
    <row r="52" spans="1:21" ht="15" x14ac:dyDescent="0.25">
      <c r="A52" s="107"/>
      <c r="B52" s="108"/>
      <c r="C52" s="107"/>
      <c r="D52" s="109"/>
      <c r="F52" s="107"/>
      <c r="K52" s="108"/>
      <c r="M52" s="110"/>
      <c r="N52" s="108"/>
      <c r="Q52" s="10"/>
      <c r="R52" s="10"/>
      <c r="S52" s="2"/>
      <c r="T52" s="8"/>
      <c r="U52" s="8"/>
    </row>
    <row r="53" spans="1:21" ht="15" x14ac:dyDescent="0.25">
      <c r="A53" s="107"/>
      <c r="B53" s="108"/>
      <c r="C53" s="107"/>
      <c r="D53" s="109"/>
      <c r="F53" s="107"/>
      <c r="K53" s="108"/>
      <c r="M53" s="110"/>
      <c r="N53" s="108"/>
      <c r="Q53" s="10"/>
      <c r="R53" s="10"/>
      <c r="S53" s="2"/>
      <c r="T53" s="8"/>
      <c r="U53" s="8"/>
    </row>
    <row r="54" spans="1:21" ht="15" x14ac:dyDescent="0.25">
      <c r="A54" s="107"/>
      <c r="B54" s="108"/>
      <c r="C54" s="107"/>
      <c r="D54" s="109"/>
      <c r="F54" s="107"/>
      <c r="K54" s="108"/>
      <c r="M54" s="110"/>
      <c r="N54" s="108"/>
      <c r="Q54" s="10"/>
      <c r="R54" s="10"/>
      <c r="S54" s="2"/>
      <c r="T54" s="8"/>
      <c r="U54" s="8"/>
    </row>
    <row r="55" spans="1:21" ht="15" x14ac:dyDescent="0.25">
      <c r="A55" s="107"/>
      <c r="B55" s="108"/>
      <c r="C55" s="107"/>
      <c r="D55" s="109"/>
      <c r="F55" s="107"/>
      <c r="K55" s="108"/>
      <c r="M55" s="110"/>
      <c r="N55" s="108"/>
      <c r="Q55" s="10"/>
      <c r="R55" s="10"/>
      <c r="S55" s="2"/>
      <c r="T55" s="8"/>
      <c r="U55" s="8"/>
    </row>
    <row r="56" spans="1:21" ht="15" x14ac:dyDescent="0.25">
      <c r="A56" s="107"/>
      <c r="B56" s="108"/>
      <c r="C56" s="107"/>
      <c r="D56" s="109"/>
      <c r="F56" s="107"/>
      <c r="K56" s="108"/>
      <c r="M56" s="110"/>
      <c r="N56" s="108"/>
      <c r="Q56" s="10"/>
      <c r="R56" s="10"/>
      <c r="S56" s="2"/>
      <c r="T56" s="8"/>
      <c r="U56" s="8"/>
    </row>
  </sheetData>
  <phoneticPr fontId="4" type="noConversion"/>
  <pageMargins left="0.75" right="0.75" top="1" bottom="1" header="0.4921259845" footer="0.4921259845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4</vt:i4>
      </vt:variant>
      <vt:variant>
        <vt:lpstr>Barruti izendunak</vt:lpstr>
      </vt:variant>
      <vt:variant>
        <vt:i4>3</vt:i4>
      </vt:variant>
    </vt:vector>
  </HeadingPairs>
  <TitlesOfParts>
    <vt:vector size="7" baseType="lpstr">
      <vt:lpstr>INFORME</vt:lpstr>
      <vt:lpstr>detalle1</vt:lpstr>
      <vt:lpstr>detalle2</vt:lpstr>
      <vt:lpstr>detalle32</vt:lpstr>
      <vt:lpstr>detalle1!Inprimatzeko_area</vt:lpstr>
      <vt:lpstr>detalle2!Inprimatzeko_area</vt:lpstr>
      <vt:lpstr>detalle32!Inprimatzeko_area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Ruiz</dc:creator>
  <cp:lastModifiedBy>Natalia Ruiz</cp:lastModifiedBy>
  <cp:lastPrinted>2014-12-11T08:00:00Z</cp:lastPrinted>
  <dcterms:created xsi:type="dcterms:W3CDTF">2013-12-21T08:23:27Z</dcterms:created>
  <dcterms:modified xsi:type="dcterms:W3CDTF">2023-04-12T22:18:05Z</dcterms:modified>
</cp:coreProperties>
</file>