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3\OARSOALDEA\2go HIRUHILEKOA\"/>
    </mc:Choice>
  </mc:AlternateContent>
  <xr:revisionPtr revIDLastSave="0" documentId="13_ncr:1_{3A640E06-1961-46BB-B9BC-0D4403FE3F1A}" xr6:coauthVersionLast="47" xr6:coauthVersionMax="47" xr10:uidLastSave="{00000000-0000-0000-0000-000000000000}"/>
  <bookViews>
    <workbookView xWindow="-120" yWindow="-120" windowWidth="19440" windowHeight="11520" tabRatio="566" xr2:uid="{00000000-000D-0000-FFFF-FFFF00000000}"/>
  </bookViews>
  <sheets>
    <sheet name="INFORME" sheetId="5" r:id="rId1"/>
    <sheet name="detalle1" sheetId="2" r:id="rId2"/>
    <sheet name="detalle2" sheetId="3" r:id="rId3"/>
    <sheet name="detalle32" sheetId="4" r:id="rId4"/>
  </sheets>
  <externalReferences>
    <externalReference r:id="rId5"/>
    <externalReference r:id="rId6"/>
  </externalReferences>
  <definedNames>
    <definedName name="_xlnm.Print_Area" localSheetId="1">detalle1!$A$1:$R$6</definedName>
    <definedName name="_xlnm.Print_Area" localSheetId="2">detalle2!$A$1:$R$7</definedName>
    <definedName name="_xlnm.Print_Area" localSheetId="3">detalle32!$A$1:$P$7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5" l="1"/>
  <c r="G90" i="5"/>
  <c r="E90" i="5"/>
  <c r="G58" i="5"/>
  <c r="F58" i="5"/>
  <c r="G54" i="5"/>
  <c r="F54" i="5"/>
  <c r="G55" i="5"/>
  <c r="F55" i="5"/>
  <c r="G48" i="5"/>
  <c r="F48" i="5"/>
  <c r="G51" i="5"/>
  <c r="F51" i="5"/>
  <c r="G50" i="5"/>
  <c r="F50" i="5"/>
  <c r="F37" i="5"/>
  <c r="F33" i="5"/>
  <c r="G26" i="5"/>
  <c r="G22" i="5"/>
  <c r="G16" i="5"/>
  <c r="F26" i="5"/>
  <c r="F22" i="5"/>
  <c r="F16" i="5"/>
  <c r="G23" i="5"/>
  <c r="F23" i="5"/>
  <c r="G21" i="5"/>
  <c r="F21" i="5"/>
  <c r="G19" i="5"/>
  <c r="F19" i="5"/>
  <c r="G18" i="5"/>
  <c r="F18" i="5"/>
  <c r="G17" i="5"/>
  <c r="F17" i="5"/>
  <c r="F19" i="3"/>
  <c r="D18" i="3"/>
  <c r="D17" i="3"/>
  <c r="D16" i="3"/>
  <c r="D19" i="3" s="1"/>
  <c r="D12" i="3"/>
  <c r="S11" i="3"/>
  <c r="N11" i="3"/>
  <c r="S10" i="3"/>
  <c r="N10" i="3"/>
  <c r="S9" i="3"/>
  <c r="N9" i="3"/>
  <c r="S8" i="3"/>
  <c r="N8" i="3"/>
  <c r="F224" i="2"/>
  <c r="D223" i="2"/>
  <c r="D222" i="2"/>
  <c r="D221" i="2"/>
  <c r="D220" i="2"/>
  <c r="D219" i="2"/>
  <c r="D224" i="2" s="1"/>
  <c r="D216" i="2"/>
  <c r="R215" i="2"/>
  <c r="S215" i="2" s="1"/>
  <c r="N215" i="2"/>
  <c r="Q215" i="2" s="1"/>
  <c r="R214" i="2"/>
  <c r="S214" i="2" s="1"/>
  <c r="N214" i="2"/>
  <c r="Q214" i="2" s="1"/>
  <c r="R213" i="2"/>
  <c r="S213" i="2" s="1"/>
  <c r="N213" i="2"/>
  <c r="Q213" i="2" s="1"/>
  <c r="R212" i="2"/>
  <c r="S212" i="2" s="1"/>
  <c r="P212" i="2"/>
  <c r="N212" i="2"/>
  <c r="Q212" i="2" s="1"/>
  <c r="R211" i="2"/>
  <c r="S211" i="2" s="1"/>
  <c r="N211" i="2"/>
  <c r="Q211" i="2" s="1"/>
  <c r="R210" i="2"/>
  <c r="S210" i="2" s="1"/>
  <c r="N210" i="2"/>
  <c r="Q210" i="2" s="1"/>
  <c r="R209" i="2"/>
  <c r="S209" i="2" s="1"/>
  <c r="Q209" i="2"/>
  <c r="N209" i="2"/>
  <c r="P209" i="2" s="1"/>
  <c r="R208" i="2"/>
  <c r="S208" i="2" s="1"/>
  <c r="N208" i="2"/>
  <c r="Q208" i="2" s="1"/>
  <c r="S207" i="2"/>
  <c r="R207" i="2"/>
  <c r="N207" i="2"/>
  <c r="P207" i="2" s="1"/>
  <c r="R206" i="2"/>
  <c r="S206" i="2" s="1"/>
  <c r="N206" i="2"/>
  <c r="Q206" i="2" s="1"/>
  <c r="R205" i="2"/>
  <c r="S205" i="2" s="1"/>
  <c r="N205" i="2"/>
  <c r="Q205" i="2" s="1"/>
  <c r="R204" i="2"/>
  <c r="S204" i="2" s="1"/>
  <c r="N204" i="2"/>
  <c r="Q204" i="2" s="1"/>
  <c r="R203" i="2"/>
  <c r="S203" i="2" s="1"/>
  <c r="N203" i="2"/>
  <c r="Q203" i="2" s="1"/>
  <c r="R202" i="2"/>
  <c r="S202" i="2" s="1"/>
  <c r="N202" i="2"/>
  <c r="Q202" i="2" s="1"/>
  <c r="R201" i="2"/>
  <c r="S201" i="2" s="1"/>
  <c r="Q201" i="2"/>
  <c r="P201" i="2"/>
  <c r="N201" i="2"/>
  <c r="R200" i="2"/>
  <c r="S200" i="2" s="1"/>
  <c r="N200" i="2"/>
  <c r="Q200" i="2" s="1"/>
  <c r="R199" i="2"/>
  <c r="S199" i="2" s="1"/>
  <c r="N199" i="2"/>
  <c r="Q199" i="2" s="1"/>
  <c r="R198" i="2"/>
  <c r="S198" i="2" s="1"/>
  <c r="Q198" i="2"/>
  <c r="P198" i="2"/>
  <c r="N198" i="2"/>
  <c r="R197" i="2"/>
  <c r="S197" i="2" s="1"/>
  <c r="P197" i="2"/>
  <c r="N197" i="2"/>
  <c r="Q197" i="2" s="1"/>
  <c r="R196" i="2"/>
  <c r="S196" i="2" s="1"/>
  <c r="N196" i="2"/>
  <c r="Q196" i="2" s="1"/>
  <c r="R195" i="2"/>
  <c r="S195" i="2" s="1"/>
  <c r="Q195" i="2"/>
  <c r="N195" i="2"/>
  <c r="P195" i="2" s="1"/>
  <c r="R194" i="2"/>
  <c r="S194" i="2" s="1"/>
  <c r="N194" i="2"/>
  <c r="Q194" i="2" s="1"/>
  <c r="R193" i="2"/>
  <c r="S193" i="2" s="1"/>
  <c r="N193" i="2"/>
  <c r="Q193" i="2" s="1"/>
  <c r="R192" i="2"/>
  <c r="S192" i="2" s="1"/>
  <c r="N192" i="2"/>
  <c r="Q192" i="2" s="1"/>
  <c r="R191" i="2"/>
  <c r="S191" i="2" s="1"/>
  <c r="N191" i="2"/>
  <c r="Q191" i="2" s="1"/>
  <c r="R190" i="2"/>
  <c r="S190" i="2" s="1"/>
  <c r="N190" i="2"/>
  <c r="Q190" i="2" s="1"/>
  <c r="R189" i="2"/>
  <c r="S189" i="2" s="1"/>
  <c r="P189" i="2"/>
  <c r="N189" i="2"/>
  <c r="Q189" i="2" s="1"/>
  <c r="S188" i="2"/>
  <c r="R188" i="2"/>
  <c r="N188" i="2"/>
  <c r="Q188" i="2" s="1"/>
  <c r="R187" i="2"/>
  <c r="S187" i="2" s="1"/>
  <c r="N187" i="2"/>
  <c r="Q187" i="2" s="1"/>
  <c r="R186" i="2"/>
  <c r="S186" i="2" s="1"/>
  <c r="N186" i="2"/>
  <c r="P186" i="2" s="1"/>
  <c r="R185" i="2"/>
  <c r="S185" i="2" s="1"/>
  <c r="N185" i="2"/>
  <c r="Q185" i="2" s="1"/>
  <c r="R184" i="2"/>
  <c r="S184" i="2" s="1"/>
  <c r="N184" i="2"/>
  <c r="Q184" i="2" s="1"/>
  <c r="R183" i="2"/>
  <c r="S183" i="2" s="1"/>
  <c r="N183" i="2"/>
  <c r="P183" i="2" s="1"/>
  <c r="S182" i="2"/>
  <c r="R182" i="2"/>
  <c r="N182" i="2"/>
  <c r="Q182" i="2" s="1"/>
  <c r="R181" i="2"/>
  <c r="S181" i="2" s="1"/>
  <c r="N181" i="2"/>
  <c r="Q181" i="2" s="1"/>
  <c r="R180" i="2"/>
  <c r="S180" i="2" s="1"/>
  <c r="N180" i="2"/>
  <c r="Q180" i="2" s="1"/>
  <c r="R179" i="2"/>
  <c r="S179" i="2" s="1"/>
  <c r="Q179" i="2"/>
  <c r="P179" i="2"/>
  <c r="N179" i="2"/>
  <c r="R178" i="2"/>
  <c r="S178" i="2" s="1"/>
  <c r="N178" i="2"/>
  <c r="Q178" i="2" s="1"/>
  <c r="R177" i="2"/>
  <c r="S177" i="2" s="1"/>
  <c r="N177" i="2"/>
  <c r="Q177" i="2" s="1"/>
  <c r="R176" i="2"/>
  <c r="S176" i="2" s="1"/>
  <c r="N176" i="2"/>
  <c r="Q176" i="2" s="1"/>
  <c r="R175" i="2"/>
  <c r="S175" i="2" s="1"/>
  <c r="N175" i="2"/>
  <c r="Q175" i="2" s="1"/>
  <c r="S174" i="2"/>
  <c r="R174" i="2"/>
  <c r="N174" i="2"/>
  <c r="P174" i="2" s="1"/>
  <c r="R173" i="2"/>
  <c r="S173" i="2" s="1"/>
  <c r="N173" i="2"/>
  <c r="Q173" i="2" s="1"/>
  <c r="S172" i="2"/>
  <c r="R172" i="2"/>
  <c r="N172" i="2"/>
  <c r="Q172" i="2" s="1"/>
  <c r="R171" i="2"/>
  <c r="S171" i="2" s="1"/>
  <c r="N171" i="2"/>
  <c r="P171" i="2" s="1"/>
  <c r="R170" i="2"/>
  <c r="S170" i="2" s="1"/>
  <c r="N170" i="2"/>
  <c r="Q170" i="2" s="1"/>
  <c r="R169" i="2"/>
  <c r="S169" i="2" s="1"/>
  <c r="N169" i="2"/>
  <c r="Q169" i="2" s="1"/>
  <c r="R168" i="2"/>
  <c r="S168" i="2" s="1"/>
  <c r="N168" i="2"/>
  <c r="Q168" i="2" s="1"/>
  <c r="R167" i="2"/>
  <c r="S167" i="2" s="1"/>
  <c r="Q167" i="2"/>
  <c r="P167" i="2"/>
  <c r="N167" i="2"/>
  <c r="R166" i="2"/>
  <c r="S166" i="2" s="1"/>
  <c r="N166" i="2"/>
  <c r="Q166" i="2" s="1"/>
  <c r="R165" i="2"/>
  <c r="S165" i="2" s="1"/>
  <c r="N165" i="2"/>
  <c r="Q165" i="2" s="1"/>
  <c r="R164" i="2"/>
  <c r="S164" i="2" s="1"/>
  <c r="N164" i="2"/>
  <c r="Q164" i="2" s="1"/>
  <c r="R163" i="2"/>
  <c r="S163" i="2" s="1"/>
  <c r="P163" i="2"/>
  <c r="N163" i="2"/>
  <c r="Q163" i="2" s="1"/>
  <c r="R162" i="2"/>
  <c r="S162" i="2" s="1"/>
  <c r="N162" i="2"/>
  <c r="Q162" i="2" s="1"/>
  <c r="R161" i="2"/>
  <c r="S161" i="2" s="1"/>
  <c r="N161" i="2"/>
  <c r="Q161" i="2" s="1"/>
  <c r="S160" i="2"/>
  <c r="R160" i="2"/>
  <c r="N160" i="2"/>
  <c r="Q160" i="2" s="1"/>
  <c r="R159" i="2"/>
  <c r="S159" i="2" s="1"/>
  <c r="N159" i="2"/>
  <c r="P159" i="2" s="1"/>
  <c r="S158" i="2"/>
  <c r="R158" i="2"/>
  <c r="N158" i="2"/>
  <c r="Q158" i="2" s="1"/>
  <c r="R157" i="2"/>
  <c r="S157" i="2" s="1"/>
  <c r="N157" i="2"/>
  <c r="Q157" i="2" s="1"/>
  <c r="R156" i="2"/>
  <c r="S156" i="2" s="1"/>
  <c r="N156" i="2"/>
  <c r="Q156" i="2" s="1"/>
  <c r="R155" i="2"/>
  <c r="S155" i="2" s="1"/>
  <c r="Q155" i="2"/>
  <c r="P155" i="2"/>
  <c r="N155" i="2"/>
  <c r="R154" i="2"/>
  <c r="S154" i="2" s="1"/>
  <c r="N154" i="2"/>
  <c r="Q154" i="2" s="1"/>
  <c r="R153" i="2"/>
  <c r="S153" i="2" s="1"/>
  <c r="P153" i="2"/>
  <c r="N153" i="2"/>
  <c r="Q153" i="2" s="1"/>
  <c r="R152" i="2"/>
  <c r="S152" i="2" s="1"/>
  <c r="P152" i="2"/>
  <c r="N152" i="2"/>
  <c r="Q152" i="2" s="1"/>
  <c r="R151" i="2"/>
  <c r="S151" i="2" s="1"/>
  <c r="N151" i="2"/>
  <c r="Q151" i="2" s="1"/>
  <c r="R150" i="2"/>
  <c r="S150" i="2" s="1"/>
  <c r="P150" i="2"/>
  <c r="N150" i="2"/>
  <c r="Q150" i="2" s="1"/>
  <c r="R149" i="2"/>
  <c r="S149" i="2" s="1"/>
  <c r="Q149" i="2"/>
  <c r="P149" i="2"/>
  <c r="N149" i="2"/>
  <c r="R148" i="2"/>
  <c r="S148" i="2" s="1"/>
  <c r="N148" i="2"/>
  <c r="Q148" i="2" s="1"/>
  <c r="R147" i="2"/>
  <c r="S147" i="2" s="1"/>
  <c r="N147" i="2"/>
  <c r="P147" i="2" s="1"/>
  <c r="R146" i="2"/>
  <c r="S146" i="2" s="1"/>
  <c r="N146" i="2"/>
  <c r="Q146" i="2" s="1"/>
  <c r="R145" i="2"/>
  <c r="S145" i="2" s="1"/>
  <c r="N145" i="2"/>
  <c r="Q145" i="2" s="1"/>
  <c r="R144" i="2"/>
  <c r="S144" i="2" s="1"/>
  <c r="N144" i="2"/>
  <c r="Q144" i="2" s="1"/>
  <c r="R143" i="2"/>
  <c r="S143" i="2" s="1"/>
  <c r="P143" i="2"/>
  <c r="N143" i="2"/>
  <c r="Q143" i="2" s="1"/>
  <c r="R142" i="2"/>
  <c r="S142" i="2" s="1"/>
  <c r="N142" i="2"/>
  <c r="Q142" i="2" s="1"/>
  <c r="R141" i="2"/>
  <c r="S141" i="2" s="1"/>
  <c r="N141" i="2"/>
  <c r="Q141" i="2" s="1"/>
  <c r="S140" i="2"/>
  <c r="R140" i="2"/>
  <c r="N140" i="2"/>
  <c r="Q140" i="2" s="1"/>
  <c r="R139" i="2"/>
  <c r="S139" i="2" s="1"/>
  <c r="P139" i="2"/>
  <c r="N139" i="2"/>
  <c r="Q139" i="2" s="1"/>
  <c r="S138" i="2"/>
  <c r="R138" i="2"/>
  <c r="N138" i="2"/>
  <c r="P138" i="2" s="1"/>
  <c r="S137" i="2"/>
  <c r="R137" i="2"/>
  <c r="N137" i="2"/>
  <c r="Q137" i="2" s="1"/>
  <c r="S136" i="2"/>
  <c r="R136" i="2"/>
  <c r="N136" i="2"/>
  <c r="Q136" i="2" s="1"/>
  <c r="R135" i="2"/>
  <c r="S135" i="2" s="1"/>
  <c r="N135" i="2"/>
  <c r="P135" i="2" s="1"/>
  <c r="S134" i="2"/>
  <c r="R134" i="2"/>
  <c r="N134" i="2"/>
  <c r="Q134" i="2" s="1"/>
  <c r="R133" i="2"/>
  <c r="S133" i="2" s="1"/>
  <c r="N133" i="2"/>
  <c r="Q133" i="2" s="1"/>
  <c r="R132" i="2"/>
  <c r="S132" i="2" s="1"/>
  <c r="N132" i="2"/>
  <c r="Q132" i="2" s="1"/>
  <c r="R131" i="2"/>
  <c r="S131" i="2" s="1"/>
  <c r="N131" i="2"/>
  <c r="Q131" i="2" s="1"/>
  <c r="R130" i="2"/>
  <c r="S130" i="2" s="1"/>
  <c r="N130" i="2"/>
  <c r="Q130" i="2" s="1"/>
  <c r="R129" i="2"/>
  <c r="S129" i="2" s="1"/>
  <c r="N129" i="2"/>
  <c r="Q129" i="2" s="1"/>
  <c r="R128" i="2"/>
  <c r="S128" i="2" s="1"/>
  <c r="P128" i="2"/>
  <c r="N128" i="2"/>
  <c r="Q128" i="2" s="1"/>
  <c r="R127" i="2"/>
  <c r="S127" i="2" s="1"/>
  <c r="N127" i="2"/>
  <c r="Q127" i="2" s="1"/>
  <c r="R126" i="2"/>
  <c r="S126" i="2" s="1"/>
  <c r="N126" i="2"/>
  <c r="P126" i="2" s="1"/>
  <c r="R125" i="2"/>
  <c r="S125" i="2" s="1"/>
  <c r="P125" i="2"/>
  <c r="N125" i="2"/>
  <c r="Q125" i="2" s="1"/>
  <c r="R124" i="2"/>
  <c r="S124" i="2" s="1"/>
  <c r="N124" i="2"/>
  <c r="Q124" i="2" s="1"/>
  <c r="R123" i="2"/>
  <c r="S123" i="2" s="1"/>
  <c r="Q123" i="2"/>
  <c r="N123" i="2"/>
  <c r="P123" i="2" s="1"/>
  <c r="R122" i="2"/>
  <c r="S122" i="2" s="1"/>
  <c r="N122" i="2"/>
  <c r="Q122" i="2" s="1"/>
  <c r="R121" i="2"/>
  <c r="S121" i="2" s="1"/>
  <c r="N121" i="2"/>
  <c r="Q121" i="2" s="1"/>
  <c r="R120" i="2"/>
  <c r="S120" i="2" s="1"/>
  <c r="N120" i="2"/>
  <c r="Q120" i="2" s="1"/>
  <c r="R119" i="2"/>
  <c r="S119" i="2" s="1"/>
  <c r="Q119" i="2"/>
  <c r="N119" i="2"/>
  <c r="P119" i="2" s="1"/>
  <c r="R118" i="2"/>
  <c r="S118" i="2" s="1"/>
  <c r="N118" i="2"/>
  <c r="Q118" i="2" s="1"/>
  <c r="R117" i="2"/>
  <c r="S117" i="2" s="1"/>
  <c r="P117" i="2"/>
  <c r="N117" i="2"/>
  <c r="Q117" i="2" s="1"/>
  <c r="S116" i="2"/>
  <c r="R116" i="2"/>
  <c r="N116" i="2"/>
  <c r="Q116" i="2" s="1"/>
  <c r="R115" i="2"/>
  <c r="S115" i="2" s="1"/>
  <c r="N115" i="2"/>
  <c r="Q115" i="2" s="1"/>
  <c r="R114" i="2"/>
  <c r="S114" i="2" s="1"/>
  <c r="N114" i="2"/>
  <c r="P114" i="2" s="1"/>
  <c r="R113" i="2"/>
  <c r="S113" i="2" s="1"/>
  <c r="N113" i="2"/>
  <c r="Q113" i="2" s="1"/>
  <c r="R112" i="2"/>
  <c r="S112" i="2" s="1"/>
  <c r="N112" i="2"/>
  <c r="Q112" i="2" s="1"/>
  <c r="R111" i="2"/>
  <c r="S111" i="2" s="1"/>
  <c r="N111" i="2"/>
  <c r="P111" i="2" s="1"/>
  <c r="R110" i="2"/>
  <c r="S110" i="2" s="1"/>
  <c r="N110" i="2"/>
  <c r="Q110" i="2" s="1"/>
  <c r="R109" i="2"/>
  <c r="S109" i="2" s="1"/>
  <c r="N109" i="2"/>
  <c r="Q109" i="2" s="1"/>
  <c r="R108" i="2"/>
  <c r="S108" i="2" s="1"/>
  <c r="N108" i="2"/>
  <c r="Q108" i="2" s="1"/>
  <c r="R107" i="2"/>
  <c r="S107" i="2" s="1"/>
  <c r="Q107" i="2"/>
  <c r="P107" i="2"/>
  <c r="N107" i="2"/>
  <c r="R106" i="2"/>
  <c r="S106" i="2" s="1"/>
  <c r="P106" i="2"/>
  <c r="N106" i="2"/>
  <c r="Q106" i="2" s="1"/>
  <c r="R105" i="2"/>
  <c r="S105" i="2" s="1"/>
  <c r="N105" i="2"/>
  <c r="Q105" i="2" s="1"/>
  <c r="R104" i="2"/>
  <c r="S104" i="2" s="1"/>
  <c r="N104" i="2"/>
  <c r="Q104" i="2" s="1"/>
  <c r="R103" i="2"/>
  <c r="S103" i="2" s="1"/>
  <c r="P103" i="2"/>
  <c r="N103" i="2"/>
  <c r="Q103" i="2" s="1"/>
  <c r="S102" i="2"/>
  <c r="R102" i="2"/>
  <c r="Q102" i="2"/>
  <c r="N102" i="2"/>
  <c r="P102" i="2" s="1"/>
  <c r="R101" i="2"/>
  <c r="S101" i="2" s="1"/>
  <c r="P101" i="2"/>
  <c r="N101" i="2"/>
  <c r="Q101" i="2" s="1"/>
  <c r="S100" i="2"/>
  <c r="R100" i="2"/>
  <c r="N100" i="2"/>
  <c r="Q100" i="2" s="1"/>
  <c r="R99" i="2"/>
  <c r="S99" i="2" s="1"/>
  <c r="N99" i="2"/>
  <c r="Q99" i="2" s="1"/>
  <c r="R98" i="2"/>
  <c r="S98" i="2" s="1"/>
  <c r="N98" i="2"/>
  <c r="Q98" i="2" s="1"/>
  <c r="R97" i="2"/>
  <c r="S97" i="2" s="1"/>
  <c r="N97" i="2"/>
  <c r="Q97" i="2" s="1"/>
  <c r="R96" i="2"/>
  <c r="S96" i="2" s="1"/>
  <c r="N96" i="2"/>
  <c r="Q96" i="2" s="1"/>
  <c r="R95" i="2"/>
  <c r="S95" i="2" s="1"/>
  <c r="N95" i="2"/>
  <c r="Q95" i="2" s="1"/>
  <c r="R94" i="2"/>
  <c r="S94" i="2" s="1"/>
  <c r="N94" i="2"/>
  <c r="Q94" i="2" s="1"/>
  <c r="R93" i="2"/>
  <c r="S93" i="2" s="1"/>
  <c r="N93" i="2"/>
  <c r="Q93" i="2" s="1"/>
  <c r="S92" i="2"/>
  <c r="R92" i="2"/>
  <c r="P92" i="2"/>
  <c r="N92" i="2"/>
  <c r="Q92" i="2" s="1"/>
  <c r="R91" i="2"/>
  <c r="S91" i="2" s="1"/>
  <c r="P91" i="2"/>
  <c r="N91" i="2"/>
  <c r="Q91" i="2" s="1"/>
  <c r="S90" i="2"/>
  <c r="R90" i="2"/>
  <c r="N90" i="2"/>
  <c r="P90" i="2" s="1"/>
  <c r="S89" i="2"/>
  <c r="R89" i="2"/>
  <c r="N89" i="2"/>
  <c r="P89" i="2" s="1"/>
  <c r="R88" i="2"/>
  <c r="S88" i="2" s="1"/>
  <c r="N88" i="2"/>
  <c r="Q88" i="2" s="1"/>
  <c r="R87" i="2"/>
  <c r="S87" i="2" s="1"/>
  <c r="Q87" i="2"/>
  <c r="N87" i="2"/>
  <c r="P87" i="2" s="1"/>
  <c r="R86" i="2"/>
  <c r="S86" i="2" s="1"/>
  <c r="N86" i="2"/>
  <c r="Q86" i="2" s="1"/>
  <c r="R85" i="2"/>
  <c r="S85" i="2" s="1"/>
  <c r="N85" i="2"/>
  <c r="Q85" i="2" s="1"/>
  <c r="R84" i="2"/>
  <c r="S84" i="2" s="1"/>
  <c r="N84" i="2"/>
  <c r="Q84" i="2" s="1"/>
  <c r="R83" i="2"/>
  <c r="S83" i="2" s="1"/>
  <c r="P83" i="2"/>
  <c r="N83" i="2"/>
  <c r="Q83" i="2" s="1"/>
  <c r="R82" i="2"/>
  <c r="S82" i="2" s="1"/>
  <c r="N82" i="2"/>
  <c r="Q82" i="2" s="1"/>
  <c r="R81" i="2"/>
  <c r="S81" i="2" s="1"/>
  <c r="N81" i="2"/>
  <c r="Q81" i="2" s="1"/>
  <c r="R80" i="2"/>
  <c r="S80" i="2" s="1"/>
  <c r="N80" i="2"/>
  <c r="Q80" i="2" s="1"/>
  <c r="R79" i="2"/>
  <c r="S79" i="2" s="1"/>
  <c r="P79" i="2"/>
  <c r="N79" i="2"/>
  <c r="Q79" i="2" s="1"/>
  <c r="R78" i="2"/>
  <c r="S78" i="2" s="1"/>
  <c r="N78" i="2"/>
  <c r="P78" i="2" s="1"/>
  <c r="R77" i="2"/>
  <c r="S77" i="2" s="1"/>
  <c r="N77" i="2"/>
  <c r="P77" i="2" s="1"/>
  <c r="R76" i="2"/>
  <c r="S76" i="2" s="1"/>
  <c r="N76" i="2"/>
  <c r="Q76" i="2" s="1"/>
  <c r="R75" i="2"/>
  <c r="S75" i="2" s="1"/>
  <c r="N75" i="2"/>
  <c r="P75" i="2" s="1"/>
  <c r="R74" i="2"/>
  <c r="S74" i="2" s="1"/>
  <c r="N74" i="2"/>
  <c r="Q74" i="2" s="1"/>
  <c r="R73" i="2"/>
  <c r="S73" i="2" s="1"/>
  <c r="N73" i="2"/>
  <c r="Q73" i="2" s="1"/>
  <c r="R72" i="2"/>
  <c r="S72" i="2" s="1"/>
  <c r="N72" i="2"/>
  <c r="Q72" i="2" s="1"/>
  <c r="R71" i="2"/>
  <c r="S71" i="2" s="1"/>
  <c r="Q71" i="2"/>
  <c r="N71" i="2"/>
  <c r="P71" i="2" s="1"/>
  <c r="R70" i="2"/>
  <c r="S70" i="2" s="1"/>
  <c r="P70" i="2"/>
  <c r="N70" i="2"/>
  <c r="Q70" i="2" s="1"/>
  <c r="R69" i="2"/>
  <c r="S69" i="2" s="1"/>
  <c r="N69" i="2"/>
  <c r="Q69" i="2" s="1"/>
  <c r="R68" i="2"/>
  <c r="S68" i="2" s="1"/>
  <c r="N68" i="2"/>
  <c r="Q68" i="2" s="1"/>
  <c r="R67" i="2"/>
  <c r="S67" i="2" s="1"/>
  <c r="N67" i="2"/>
  <c r="Q67" i="2" s="1"/>
  <c r="S66" i="2"/>
  <c r="R66" i="2"/>
  <c r="N66" i="2"/>
  <c r="P66" i="2" s="1"/>
  <c r="R65" i="2"/>
  <c r="S65" i="2" s="1"/>
  <c r="N65" i="2"/>
  <c r="Q65" i="2" s="1"/>
  <c r="R64" i="2"/>
  <c r="S64" i="2" s="1"/>
  <c r="N64" i="2"/>
  <c r="Q64" i="2" s="1"/>
  <c r="R63" i="2"/>
  <c r="S63" i="2" s="1"/>
  <c r="N63" i="2"/>
  <c r="P63" i="2" s="1"/>
  <c r="R62" i="2"/>
  <c r="S62" i="2" s="1"/>
  <c r="N62" i="2"/>
  <c r="Q62" i="2" s="1"/>
  <c r="R61" i="2"/>
  <c r="S61" i="2" s="1"/>
  <c r="N61" i="2"/>
  <c r="Q61" i="2" s="1"/>
  <c r="R60" i="2"/>
  <c r="S60" i="2" s="1"/>
  <c r="N60" i="2"/>
  <c r="Q60" i="2" s="1"/>
  <c r="R59" i="2"/>
  <c r="S59" i="2" s="1"/>
  <c r="Q59" i="2"/>
  <c r="P59" i="2"/>
  <c r="N59" i="2"/>
  <c r="R58" i="2"/>
  <c r="S58" i="2" s="1"/>
  <c r="N58" i="2"/>
  <c r="Q58" i="2" s="1"/>
  <c r="R57" i="2"/>
  <c r="S57" i="2" s="1"/>
  <c r="N57" i="2"/>
  <c r="Q57" i="2" s="1"/>
  <c r="R56" i="2"/>
  <c r="S56" i="2" s="1"/>
  <c r="P56" i="2"/>
  <c r="N56" i="2"/>
  <c r="Q56" i="2" s="1"/>
  <c r="R55" i="2"/>
  <c r="S55" i="2" s="1"/>
  <c r="P55" i="2"/>
  <c r="N55" i="2"/>
  <c r="Q55" i="2" s="1"/>
  <c r="R54" i="2"/>
  <c r="S54" i="2" s="1"/>
  <c r="Q54" i="2"/>
  <c r="N54" i="2"/>
  <c r="P54" i="2" s="1"/>
  <c r="R53" i="2"/>
  <c r="S53" i="2" s="1"/>
  <c r="N53" i="2"/>
  <c r="Q53" i="2" s="1"/>
  <c r="R52" i="2"/>
  <c r="S52" i="2" s="1"/>
  <c r="N52" i="2"/>
  <c r="Q52" i="2" s="1"/>
  <c r="R51" i="2"/>
  <c r="S51" i="2" s="1"/>
  <c r="N51" i="2"/>
  <c r="P51" i="2" s="1"/>
  <c r="R50" i="2"/>
  <c r="S50" i="2" s="1"/>
  <c r="N50" i="2"/>
  <c r="Q50" i="2" s="1"/>
  <c r="R49" i="2"/>
  <c r="S49" i="2" s="1"/>
  <c r="N49" i="2"/>
  <c r="Q49" i="2" s="1"/>
  <c r="R48" i="2"/>
  <c r="S48" i="2" s="1"/>
  <c r="N48" i="2"/>
  <c r="Q48" i="2" s="1"/>
  <c r="R47" i="2"/>
  <c r="S47" i="2" s="1"/>
  <c r="N47" i="2"/>
  <c r="Q47" i="2" s="1"/>
  <c r="R46" i="2"/>
  <c r="S46" i="2" s="1"/>
  <c r="N46" i="2"/>
  <c r="Q46" i="2" s="1"/>
  <c r="R45" i="2"/>
  <c r="S45" i="2" s="1"/>
  <c r="N45" i="2"/>
  <c r="Q45" i="2" s="1"/>
  <c r="R44" i="2"/>
  <c r="S44" i="2" s="1"/>
  <c r="N44" i="2"/>
  <c r="Q44" i="2" s="1"/>
  <c r="R43" i="2"/>
  <c r="S43" i="2" s="1"/>
  <c r="N43" i="2"/>
  <c r="Q43" i="2" s="1"/>
  <c r="S42" i="2"/>
  <c r="R42" i="2"/>
  <c r="N42" i="2"/>
  <c r="P42" i="2" s="1"/>
  <c r="S41" i="2"/>
  <c r="R41" i="2"/>
  <c r="P41" i="2"/>
  <c r="N41" i="2"/>
  <c r="Q41" i="2" s="1"/>
  <c r="S40" i="2"/>
  <c r="R40" i="2"/>
  <c r="N40" i="2"/>
  <c r="Q40" i="2" s="1"/>
  <c r="R39" i="2"/>
  <c r="S39" i="2" s="1"/>
  <c r="Q39" i="2"/>
  <c r="N39" i="2"/>
  <c r="P39" i="2" s="1"/>
  <c r="R38" i="2"/>
  <c r="S38" i="2" s="1"/>
  <c r="N38" i="2"/>
  <c r="Q38" i="2" s="1"/>
  <c r="R37" i="2"/>
  <c r="S37" i="2" s="1"/>
  <c r="N37" i="2"/>
  <c r="Q37" i="2" s="1"/>
  <c r="R36" i="2"/>
  <c r="S36" i="2" s="1"/>
  <c r="N36" i="2"/>
  <c r="Q36" i="2" s="1"/>
  <c r="R35" i="2"/>
  <c r="S35" i="2" s="1"/>
  <c r="N35" i="2"/>
  <c r="P35" i="2" s="1"/>
  <c r="R34" i="2"/>
  <c r="S34" i="2" s="1"/>
  <c r="N34" i="2"/>
  <c r="Q34" i="2" s="1"/>
  <c r="R33" i="2"/>
  <c r="S33" i="2" s="1"/>
  <c r="P33" i="2"/>
  <c r="N33" i="2"/>
  <c r="Q33" i="2" s="1"/>
  <c r="S32" i="2"/>
  <c r="R32" i="2"/>
  <c r="N32" i="2"/>
  <c r="Q32" i="2" s="1"/>
  <c r="R31" i="2"/>
  <c r="S31" i="2" s="1"/>
  <c r="N31" i="2"/>
  <c r="Q31" i="2" s="1"/>
  <c r="R30" i="2"/>
  <c r="S30" i="2" s="1"/>
  <c r="Q30" i="2"/>
  <c r="N30" i="2"/>
  <c r="P30" i="2" s="1"/>
  <c r="R29" i="2"/>
  <c r="S29" i="2" s="1"/>
  <c r="N29" i="2"/>
  <c r="P29" i="2" s="1"/>
  <c r="R28" i="2"/>
  <c r="S28" i="2" s="1"/>
  <c r="N28" i="2"/>
  <c r="Q28" i="2" s="1"/>
  <c r="R27" i="2"/>
  <c r="S27" i="2" s="1"/>
  <c r="N27" i="2"/>
  <c r="P27" i="2" s="1"/>
  <c r="R26" i="2"/>
  <c r="S26" i="2" s="1"/>
  <c r="N26" i="2"/>
  <c r="Q26" i="2" s="1"/>
  <c r="R25" i="2"/>
  <c r="S25" i="2" s="1"/>
  <c r="N25" i="2"/>
  <c r="Q25" i="2" s="1"/>
  <c r="R24" i="2"/>
  <c r="S24" i="2" s="1"/>
  <c r="N24" i="2"/>
  <c r="Q24" i="2" s="1"/>
  <c r="R23" i="2"/>
  <c r="S23" i="2" s="1"/>
  <c r="Q23" i="2"/>
  <c r="P23" i="2"/>
  <c r="N23" i="2"/>
  <c r="R22" i="2"/>
  <c r="S22" i="2" s="1"/>
  <c r="N22" i="2"/>
  <c r="Q22" i="2" s="1"/>
  <c r="R21" i="2"/>
  <c r="S21" i="2" s="1"/>
  <c r="P21" i="2"/>
  <c r="N21" i="2"/>
  <c r="Q21" i="2" s="1"/>
  <c r="R20" i="2"/>
  <c r="S20" i="2" s="1"/>
  <c r="N20" i="2"/>
  <c r="Q20" i="2" s="1"/>
  <c r="R19" i="2"/>
  <c r="S19" i="2" s="1"/>
  <c r="N19" i="2"/>
  <c r="Q19" i="2" s="1"/>
  <c r="R18" i="2"/>
  <c r="S18" i="2" s="1"/>
  <c r="N18" i="2"/>
  <c r="P18" i="2" s="1"/>
  <c r="R17" i="2"/>
  <c r="S17" i="2" s="1"/>
  <c r="N17" i="2"/>
  <c r="P17" i="2" s="1"/>
  <c r="R16" i="2"/>
  <c r="S16" i="2" s="1"/>
  <c r="N16" i="2"/>
  <c r="Q16" i="2" s="1"/>
  <c r="R15" i="2"/>
  <c r="S15" i="2" s="1"/>
  <c r="N15" i="2"/>
  <c r="P15" i="2" s="1"/>
  <c r="R14" i="2"/>
  <c r="S14" i="2" s="1"/>
  <c r="N14" i="2"/>
  <c r="Q14" i="2" s="1"/>
  <c r="R13" i="2"/>
  <c r="S13" i="2" s="1"/>
  <c r="N13" i="2"/>
  <c r="Q13" i="2" s="1"/>
  <c r="R12" i="2"/>
  <c r="S12" i="2" s="1"/>
  <c r="N12" i="2"/>
  <c r="Q12" i="2" s="1"/>
  <c r="R11" i="2"/>
  <c r="S11" i="2" s="1"/>
  <c r="P11" i="2"/>
  <c r="N11" i="2"/>
  <c r="Q11" i="2" s="1"/>
  <c r="R10" i="2"/>
  <c r="S10" i="2" s="1"/>
  <c r="N10" i="2"/>
  <c r="Q10" i="2" s="1"/>
  <c r="R9" i="2"/>
  <c r="S9" i="2" s="1"/>
  <c r="N9" i="2"/>
  <c r="Q9" i="2" s="1"/>
  <c r="S8" i="2"/>
  <c r="R8" i="2"/>
  <c r="N8" i="2"/>
  <c r="Q8" i="2" s="1"/>
  <c r="R7" i="2"/>
  <c r="S7" i="2" s="1"/>
  <c r="N7" i="2"/>
  <c r="P7" i="2" s="1"/>
  <c r="D54" i="5"/>
  <c r="I56" i="5"/>
  <c r="H56" i="5"/>
  <c r="E56" i="5"/>
  <c r="D56" i="5"/>
  <c r="I24" i="5"/>
  <c r="E24" i="5"/>
  <c r="D24" i="5"/>
  <c r="H24" i="5"/>
  <c r="A90" i="5"/>
  <c r="D80" i="5"/>
  <c r="F80" i="5"/>
  <c r="D73" i="5"/>
  <c r="D77" i="5"/>
  <c r="D78" i="5" s="1"/>
  <c r="E69" i="5"/>
  <c r="D69" i="5" s="1"/>
  <c r="F68" i="5"/>
  <c r="F70" i="5"/>
  <c r="E70" i="5"/>
  <c r="D70" i="5" s="1"/>
  <c r="F69" i="5"/>
  <c r="E68" i="5"/>
  <c r="E71" i="5" s="1"/>
  <c r="I54" i="5"/>
  <c r="I48" i="5"/>
  <c r="E48" i="5" s="1"/>
  <c r="E53" i="5"/>
  <c r="E52" i="5"/>
  <c r="E51" i="5"/>
  <c r="D48" i="5"/>
  <c r="D58" i="5" s="1"/>
  <c r="E50" i="5"/>
  <c r="H48" i="5"/>
  <c r="H58" i="5" s="1"/>
  <c r="E49" i="5"/>
  <c r="E55" i="5"/>
  <c r="E54" i="5" s="1"/>
  <c r="H54" i="5"/>
  <c r="Q35" i="2" l="1"/>
  <c r="P43" i="2"/>
  <c r="P47" i="2"/>
  <c r="P67" i="2"/>
  <c r="P82" i="2"/>
  <c r="Q90" i="2"/>
  <c r="P93" i="2"/>
  <c r="P116" i="2"/>
  <c r="P131" i="2"/>
  <c r="Q138" i="2"/>
  <c r="P161" i="2"/>
  <c r="P175" i="2"/>
  <c r="Q183" i="2"/>
  <c r="P215" i="2"/>
  <c r="P141" i="2"/>
  <c r="Q17" i="2"/>
  <c r="P105" i="2"/>
  <c r="P113" i="2"/>
  <c r="P164" i="2"/>
  <c r="Q186" i="2"/>
  <c r="Q75" i="2"/>
  <c r="P8" i="2"/>
  <c r="Q29" i="2"/>
  <c r="P44" i="2"/>
  <c r="P68" i="2"/>
  <c r="P99" i="2"/>
  <c r="Q147" i="2"/>
  <c r="P173" i="2"/>
  <c r="P176" i="2"/>
  <c r="P187" i="2"/>
  <c r="P191" i="2"/>
  <c r="Q51" i="2"/>
  <c r="P127" i="2"/>
  <c r="P32" i="2"/>
  <c r="Q18" i="2"/>
  <c r="P53" i="2"/>
  <c r="Q77" i="2"/>
  <c r="P80" i="2"/>
  <c r="P95" i="2"/>
  <c r="Q114" i="2"/>
  <c r="P162" i="2"/>
  <c r="P165" i="2"/>
  <c r="P137" i="2"/>
  <c r="Q159" i="2"/>
  <c r="P185" i="2"/>
  <c r="P188" i="2"/>
  <c r="P199" i="2"/>
  <c r="Q207" i="2"/>
  <c r="P210" i="2"/>
  <c r="P213" i="2"/>
  <c r="Q135" i="2"/>
  <c r="P20" i="2"/>
  <c r="Q15" i="2"/>
  <c r="P45" i="2"/>
  <c r="P69" i="2"/>
  <c r="Q111" i="2"/>
  <c r="Q126" i="2"/>
  <c r="P129" i="2"/>
  <c r="P140" i="2"/>
  <c r="P151" i="2"/>
  <c r="P203" i="2"/>
  <c r="P211" i="2"/>
  <c r="Q27" i="2"/>
  <c r="Q42" i="2"/>
  <c r="P57" i="2"/>
  <c r="Q66" i="2"/>
  <c r="Q89" i="2"/>
  <c r="Q174" i="2"/>
  <c r="P177" i="2"/>
  <c r="P31" i="2"/>
  <c r="Q63" i="2"/>
  <c r="P19" i="2"/>
  <c r="Q78" i="2"/>
  <c r="P81" i="2"/>
  <c r="P104" i="2"/>
  <c r="P115" i="2"/>
  <c r="Q171" i="2"/>
  <c r="P200" i="2"/>
  <c r="P16" i="2"/>
  <c r="P28" i="2"/>
  <c r="P40" i="2"/>
  <c r="P52" i="2"/>
  <c r="P64" i="2"/>
  <c r="P76" i="2"/>
  <c r="P88" i="2"/>
  <c r="P100" i="2"/>
  <c r="P112" i="2"/>
  <c r="P124" i="2"/>
  <c r="P136" i="2"/>
  <c r="P148" i="2"/>
  <c r="P160" i="2"/>
  <c r="P172" i="2"/>
  <c r="P184" i="2"/>
  <c r="P196" i="2"/>
  <c r="P208" i="2"/>
  <c r="P14" i="2"/>
  <c r="P26" i="2"/>
  <c r="P38" i="2"/>
  <c r="P50" i="2"/>
  <c r="P62" i="2"/>
  <c r="P74" i="2"/>
  <c r="P86" i="2"/>
  <c r="P98" i="2"/>
  <c r="P110" i="2"/>
  <c r="P122" i="2"/>
  <c r="P134" i="2"/>
  <c r="P146" i="2"/>
  <c r="P158" i="2"/>
  <c r="P170" i="2"/>
  <c r="P182" i="2"/>
  <c r="P194" i="2"/>
  <c r="P206" i="2"/>
  <c r="Q7" i="2"/>
  <c r="P12" i="2"/>
  <c r="P24" i="2"/>
  <c r="P36" i="2"/>
  <c r="P48" i="2"/>
  <c r="P60" i="2"/>
  <c r="P72" i="2"/>
  <c r="P84" i="2"/>
  <c r="P96" i="2"/>
  <c r="P108" i="2"/>
  <c r="P120" i="2"/>
  <c r="P132" i="2"/>
  <c r="P144" i="2"/>
  <c r="P156" i="2"/>
  <c r="P168" i="2"/>
  <c r="P180" i="2"/>
  <c r="P192" i="2"/>
  <c r="P204" i="2"/>
  <c r="P65" i="2"/>
  <c r="P9" i="2"/>
  <c r="P10" i="2"/>
  <c r="P22" i="2"/>
  <c r="P34" i="2"/>
  <c r="P46" i="2"/>
  <c r="P58" i="2"/>
  <c r="P94" i="2"/>
  <c r="P118" i="2"/>
  <c r="P130" i="2"/>
  <c r="P142" i="2"/>
  <c r="P154" i="2"/>
  <c r="P166" i="2"/>
  <c r="P178" i="2"/>
  <c r="P190" i="2"/>
  <c r="P202" i="2"/>
  <c r="P214" i="2"/>
  <c r="P13" i="2"/>
  <c r="P25" i="2"/>
  <c r="P37" i="2"/>
  <c r="P49" i="2"/>
  <c r="P61" i="2"/>
  <c r="P73" i="2"/>
  <c r="P85" i="2"/>
  <c r="P97" i="2"/>
  <c r="P109" i="2"/>
  <c r="P121" i="2"/>
  <c r="P133" i="2"/>
  <c r="P145" i="2"/>
  <c r="P157" i="2"/>
  <c r="P169" i="2"/>
  <c r="P181" i="2"/>
  <c r="P193" i="2"/>
  <c r="P205" i="2"/>
  <c r="F71" i="5"/>
  <c r="F83" i="5" s="1"/>
  <c r="H92" i="5"/>
  <c r="F81" i="5"/>
  <c r="E72" i="5"/>
  <c r="D83" i="5"/>
  <c r="D79" i="5"/>
  <c r="D81" i="5" s="1"/>
  <c r="D68" i="5"/>
  <c r="I58" i="5"/>
  <c r="E58" i="5" s="1"/>
  <c r="D71" i="5" l="1"/>
  <c r="D72" i="5" s="1"/>
  <c r="F72" i="5"/>
  <c r="H20" i="5"/>
  <c r="H18" i="5"/>
  <c r="E79" i="5"/>
  <c r="D82" i="5"/>
  <c r="E78" i="5"/>
  <c r="E80" i="5"/>
  <c r="G80" i="5"/>
  <c r="G77" i="5"/>
  <c r="G78" i="5"/>
  <c r="G79" i="5"/>
  <c r="G91" i="5"/>
  <c r="E60" i="5"/>
  <c r="I17" i="5"/>
  <c r="H23" i="5"/>
  <c r="H91" i="5" l="1"/>
  <c r="H17" i="5"/>
  <c r="E17" i="5" s="1"/>
  <c r="I20" i="5"/>
  <c r="I19" i="5"/>
  <c r="I23" i="5"/>
  <c r="I22" i="5" s="1"/>
  <c r="I18" i="5"/>
  <c r="H19" i="5"/>
  <c r="E19" i="5" s="1"/>
  <c r="I21" i="5"/>
  <c r="H21" i="5"/>
  <c r="G81" i="5"/>
  <c r="E20" i="5"/>
  <c r="E81" i="5"/>
  <c r="H22" i="5"/>
  <c r="D22" i="5"/>
  <c r="E23" i="5"/>
  <c r="E22" i="5" s="1"/>
  <c r="E18" i="5"/>
  <c r="H16" i="5" l="1"/>
  <c r="H26" i="5" s="1"/>
  <c r="H27" i="5" s="1"/>
  <c r="I16" i="5"/>
  <c r="E27" i="5" s="1"/>
  <c r="E21" i="5"/>
  <c r="D38" i="5"/>
  <c r="E37" i="5" l="1"/>
  <c r="E36" i="5"/>
  <c r="E33" i="5"/>
  <c r="E35" i="5"/>
  <c r="E34" i="5"/>
  <c r="I26" i="5"/>
  <c r="E26" i="5" s="1"/>
  <c r="D16" i="5"/>
  <c r="D27" i="5" s="1"/>
  <c r="E16" i="5"/>
  <c r="F38" i="5"/>
  <c r="G37" i="5" l="1"/>
  <c r="G36" i="5"/>
  <c r="G35" i="5"/>
  <c r="G34" i="5"/>
  <c r="G33" i="5"/>
  <c r="D26" i="5"/>
  <c r="I27" i="5"/>
  <c r="E91" i="5"/>
  <c r="E38" i="5"/>
  <c r="G38" i="5" l="1"/>
</calcChain>
</file>

<file path=xl/sharedStrings.xml><?xml version="1.0" encoding="utf-8"?>
<sst xmlns="http://schemas.openxmlformats.org/spreadsheetml/2006/main" count="610" uniqueCount="516">
  <si>
    <t>20 -</t>
  </si>
  <si>
    <t>21 -</t>
  </si>
  <si>
    <t>22 -</t>
  </si>
  <si>
    <t>23 -</t>
  </si>
  <si>
    <t>2X -</t>
  </si>
  <si>
    <t>6X -</t>
  </si>
  <si>
    <t>%</t>
  </si>
  <si>
    <t>Partida</t>
  </si>
  <si>
    <t>ADO-17</t>
  </si>
  <si>
    <t>ADO-12</t>
  </si>
  <si>
    <t>capit</t>
  </si>
  <si>
    <t>INFORMACIÓN SOBRE PLAZOS DE PAGO</t>
  </si>
  <si>
    <t>Entidad local:</t>
  </si>
  <si>
    <t>Ejercicio:</t>
  </si>
  <si>
    <t>Trimestre:</t>
  </si>
  <si>
    <t>1.1. Por clasificación económica</t>
  </si>
  <si>
    <t>1.2. Por plazos</t>
  </si>
  <si>
    <t>Pagos en el trimestre</t>
  </si>
  <si>
    <t>Plazo de pago</t>
  </si>
  <si>
    <t>(promedio de días)</t>
  </si>
  <si>
    <t>Total</t>
  </si>
  <si>
    <t>Dentro del plazo legal</t>
  </si>
  <si>
    <t>Fuera del plazo legal</t>
  </si>
  <si>
    <t>Pagos realizados en el trimestre</t>
  </si>
  <si>
    <t>Número de pagos</t>
  </si>
  <si>
    <t>Importe total</t>
  </si>
  <si>
    <t>Arrendamientos y cánones</t>
  </si>
  <si>
    <t>Reparaciones, mantenimiento y conservación</t>
  </si>
  <si>
    <t>Material, suministros y otros</t>
  </si>
  <si>
    <t>Indemnizaciones por razón del servicio</t>
  </si>
  <si>
    <t>Otros</t>
  </si>
  <si>
    <t>Inversiones reales</t>
  </si>
  <si>
    <t>Pagos pendientes de aplicar al presupuesto</t>
  </si>
  <si>
    <t>* sólo facturas correspondientes a capítulos 2 y 6</t>
  </si>
  <si>
    <t>Pagos pendientes de aplicar al presupuesto*</t>
  </si>
  <si>
    <t>Gasto en bienes corrientes y servicios</t>
  </si>
  <si>
    <t>Número de días</t>
  </si>
  <si>
    <t>30 días o menos</t>
  </si>
  <si>
    <t>De 31 a 40 días</t>
  </si>
  <si>
    <t>De 51 a 60 días</t>
  </si>
  <si>
    <t>Más de 60 días</t>
  </si>
  <si>
    <t>Pagos realizados</t>
  </si>
  <si>
    <t>Número de facturas</t>
  </si>
  <si>
    <t>Pendientes de pago al finalizar el trimestre</t>
  </si>
  <si>
    <t>Número de operaciones</t>
  </si>
  <si>
    <t>Pendientes de aplicación al presupuesto</t>
  </si>
  <si>
    <t>Plazo
(promedio de días)</t>
  </si>
  <si>
    <t>Número</t>
  </si>
  <si>
    <t>De 31 a 60 días</t>
  </si>
  <si>
    <t>De 61 a 90 días</t>
  </si>
  <si>
    <t>Más de 90 días</t>
  </si>
  <si>
    <t>4. Plazo medio de pago de la entidad (PMP)</t>
  </si>
  <si>
    <t>PMP del trimestre</t>
  </si>
  <si>
    <t>Observaciones sobre el PMP:</t>
  </si>
  <si>
    <t>Ratio</t>
  </si>
  <si>
    <t>Facturas sin obligación reconocida</t>
  </si>
  <si>
    <t>PMP</t>
  </si>
  <si>
    <t>Importe</t>
  </si>
  <si>
    <t>Operaciones pagadas</t>
  </si>
  <si>
    <t>Operaciones pendientes de pago</t>
  </si>
  <si>
    <t>De las de fuera de plazo</t>
  </si>
  <si>
    <t>Facturas y documento justificativos
pendientes de pago al final del trimestre</t>
  </si>
  <si>
    <t>Facturas y documentos justificativos 
sin obligación reconocida
pasados más tres meses desde su registro</t>
  </si>
  <si>
    <t>3.1. Con más de tres meses desde su entrada en registro</t>
  </si>
  <si>
    <t>3. Facturas y documentos justificativos sin obligación reconocida al finalizar el trimestre</t>
  </si>
  <si>
    <t>3.2. Número de días desde su entrada en registro</t>
  </si>
  <si>
    <t>Facturas y documentos justificativos
sin obligación reconocida</t>
  </si>
  <si>
    <t>1. Pagos realizados en el trimestre. Plazo desde el reconocimiento de la obligación.</t>
  </si>
  <si>
    <t>2. Facturas pendientes de pago. Plazo desde el reconocimiento de la obligación.</t>
  </si>
  <si>
    <t>Facturas pagadas en el trimestre</t>
  </si>
  <si>
    <t>Número expediente</t>
  </si>
  <si>
    <t>Fecha fra</t>
  </si>
  <si>
    <t>Número fra</t>
  </si>
  <si>
    <t>Código Tercero</t>
  </si>
  <si>
    <t>Tercero</t>
  </si>
  <si>
    <t>Concepto</t>
  </si>
  <si>
    <t>Fecha Registro</t>
  </si>
  <si>
    <t>Fecha Descent.</t>
  </si>
  <si>
    <t>Fecha O</t>
  </si>
  <si>
    <t>Fecha P</t>
  </si>
  <si>
    <t>Plazo R-O</t>
  </si>
  <si>
    <t>Plazo
 O-P</t>
  </si>
  <si>
    <t>Plazo
 R-P</t>
  </si>
  <si>
    <t>Artic</t>
  </si>
  <si>
    <t>ponderación 1</t>
  </si>
  <si>
    <t>ponderación 2</t>
  </si>
  <si>
    <t>En plazo</t>
  </si>
  <si>
    <t>Plazo
 O
 - fin Trim</t>
  </si>
  <si>
    <t>Plazo
 R 
  - Fin Trim</t>
  </si>
  <si>
    <t>Fin trim.</t>
  </si>
  <si>
    <t>Las que se quedan sin pagar en el trimestre</t>
  </si>
  <si>
    <t>OARSOALDEA</t>
  </si>
  <si>
    <t>FCC2300236</t>
  </si>
  <si>
    <t>04/2023</t>
  </si>
  <si>
    <t>FCC2300256</t>
  </si>
  <si>
    <t>0000230799/2023</t>
  </si>
  <si>
    <t>FCC2300323</t>
  </si>
  <si>
    <t>FVC2300004</t>
  </si>
  <si>
    <t>FCC2300300</t>
  </si>
  <si>
    <t>FHC22601</t>
  </si>
  <si>
    <t>FCC2300347</t>
  </si>
  <si>
    <t>76</t>
  </si>
  <si>
    <t>FCC2300348</t>
  </si>
  <si>
    <t>75</t>
  </si>
  <si>
    <t>FCC2300359</t>
  </si>
  <si>
    <t>05/2023</t>
  </si>
  <si>
    <t>FCC2300370</t>
  </si>
  <si>
    <t>0000279267/2023</t>
  </si>
  <si>
    <t>FCC2300380</t>
  </si>
  <si>
    <t>A2223220472</t>
  </si>
  <si>
    <t>FCC2300389</t>
  </si>
  <si>
    <t>FRHC72069</t>
  </si>
  <si>
    <t>FCC2300404</t>
  </si>
  <si>
    <t>14/2023</t>
  </si>
  <si>
    <t>FCC2300412</t>
  </si>
  <si>
    <t>06/2023</t>
  </si>
  <si>
    <t>FCC2300431</t>
  </si>
  <si>
    <t>FVC2300005</t>
  </si>
  <si>
    <t>FCC2300406</t>
  </si>
  <si>
    <t>11/2023</t>
  </si>
  <si>
    <t>FCC2300465</t>
  </si>
  <si>
    <t>FCC2300534</t>
  </si>
  <si>
    <t>A2324013056</t>
  </si>
  <si>
    <t>FCC2300535</t>
  </si>
  <si>
    <t>113</t>
  </si>
  <si>
    <t>FCC2300555</t>
  </si>
  <si>
    <t>FVC2300006</t>
  </si>
  <si>
    <t>FCC2300277</t>
  </si>
  <si>
    <t>00003846</t>
  </si>
  <si>
    <t>FCC2300278</t>
  </si>
  <si>
    <t>00003828</t>
  </si>
  <si>
    <t>FCC2300279</t>
  </si>
  <si>
    <t>2022/86</t>
  </si>
  <si>
    <t>FCC2300283</t>
  </si>
  <si>
    <t>23/T00058</t>
  </si>
  <si>
    <t>FCC2300298</t>
  </si>
  <si>
    <t>28-D3U1-088102</t>
  </si>
  <si>
    <t>FCC2300299</t>
  </si>
  <si>
    <t>TA74D0060193</t>
  </si>
  <si>
    <t>FCC2300332</t>
  </si>
  <si>
    <t>E0300N13IN</t>
  </si>
  <si>
    <t>FCC2300333</t>
  </si>
  <si>
    <t>E0300N1IIT</t>
  </si>
  <si>
    <t>FCC2300338</t>
  </si>
  <si>
    <t>347454611</t>
  </si>
  <si>
    <t>FCC2300346</t>
  </si>
  <si>
    <t>TI1F 1514</t>
  </si>
  <si>
    <t>FCC2300354</t>
  </si>
  <si>
    <t>230403600768</t>
  </si>
  <si>
    <t>FCC2300355</t>
  </si>
  <si>
    <t>631/23</t>
  </si>
  <si>
    <t>FCC2300356</t>
  </si>
  <si>
    <t>TI1F 1523</t>
  </si>
  <si>
    <t>FCC2300360</t>
  </si>
  <si>
    <t>S 2023038</t>
  </si>
  <si>
    <t>FCC2300361</t>
  </si>
  <si>
    <t>S2023039</t>
  </si>
  <si>
    <t>FCC2300362</t>
  </si>
  <si>
    <t>S2023040</t>
  </si>
  <si>
    <t>FCC2300364</t>
  </si>
  <si>
    <t>FBADS-700-102494188</t>
  </si>
  <si>
    <t>FCC2300365</t>
  </si>
  <si>
    <t>FS2/2023/00008814</t>
  </si>
  <si>
    <t>FCC2300367</t>
  </si>
  <si>
    <t>23188/23</t>
  </si>
  <si>
    <t>FCC2300368</t>
  </si>
  <si>
    <t>TB-2023-F 27</t>
  </si>
  <si>
    <t>FCC2300373</t>
  </si>
  <si>
    <t>SUFN/2301030</t>
  </si>
  <si>
    <t>FCC2300376</t>
  </si>
  <si>
    <t>230.377</t>
  </si>
  <si>
    <t>FCC2300377</t>
  </si>
  <si>
    <t>230.418</t>
  </si>
  <si>
    <t>FCC2300379</t>
  </si>
  <si>
    <t>23006</t>
  </si>
  <si>
    <t>FCC2300382</t>
  </si>
  <si>
    <t>F000002911</t>
  </si>
  <si>
    <t>FCC2300383</t>
  </si>
  <si>
    <t>TB-2023-F 10</t>
  </si>
  <si>
    <t>FCC2300384</t>
  </si>
  <si>
    <t>TA74E0060406</t>
  </si>
  <si>
    <t>FCC2300385</t>
  </si>
  <si>
    <t>28-E3U1-098233</t>
  </si>
  <si>
    <t>FCC2300386</t>
  </si>
  <si>
    <t>4716770952</t>
  </si>
  <si>
    <t>FCC2300387</t>
  </si>
  <si>
    <t>2022/98</t>
  </si>
  <si>
    <t>FCC2300388</t>
  </si>
  <si>
    <t>2022/97</t>
  </si>
  <si>
    <t>FCC2300390</t>
  </si>
  <si>
    <t>09230427030002404</t>
  </si>
  <si>
    <t>FCC2300391</t>
  </si>
  <si>
    <t>21230427030010408</t>
  </si>
  <si>
    <t>FCC2300392</t>
  </si>
  <si>
    <t>21230427030010409</t>
  </si>
  <si>
    <t>FCC2300393</t>
  </si>
  <si>
    <t>21230427030010410</t>
  </si>
  <si>
    <t>FCC2300394</t>
  </si>
  <si>
    <t>21230427030010568</t>
  </si>
  <si>
    <t>FCC2300395</t>
  </si>
  <si>
    <t>21230427030018290</t>
  </si>
  <si>
    <t>FCC2300396</t>
  </si>
  <si>
    <t>21230427030009217</t>
  </si>
  <si>
    <t>FCC2300397</t>
  </si>
  <si>
    <t>21230427030017472</t>
  </si>
  <si>
    <t>FCC2300398</t>
  </si>
  <si>
    <t>21230427030003750</t>
  </si>
  <si>
    <t>FCC2300399</t>
  </si>
  <si>
    <t>21230427030000027</t>
  </si>
  <si>
    <t>FCC2300400</t>
  </si>
  <si>
    <t>21230427030000019</t>
  </si>
  <si>
    <t>FCC2300401</t>
  </si>
  <si>
    <t>TB-2023-F 16</t>
  </si>
  <si>
    <t>FCC2300414</t>
  </si>
  <si>
    <t>2023/1297</t>
  </si>
  <si>
    <t>FCC2300415</t>
  </si>
  <si>
    <t>T583/2023</t>
  </si>
  <si>
    <t>FCC2300418</t>
  </si>
  <si>
    <t>2023/1296</t>
  </si>
  <si>
    <t>FCC2300419</t>
  </si>
  <si>
    <t>5851613824</t>
  </si>
  <si>
    <t>FCC2300420</t>
  </si>
  <si>
    <t>11/2023/3.038</t>
  </si>
  <si>
    <t>FCC2300421</t>
  </si>
  <si>
    <t>BORME/2023/2116</t>
  </si>
  <si>
    <t>FCC2300423</t>
  </si>
  <si>
    <t>778/23</t>
  </si>
  <si>
    <t>FCC2300408</t>
  </si>
  <si>
    <t>21230427030008131</t>
  </si>
  <si>
    <t>FCC2300409</t>
  </si>
  <si>
    <t>21230427030000020</t>
  </si>
  <si>
    <t>FCC2300410</t>
  </si>
  <si>
    <t>212340427030000021</t>
  </si>
  <si>
    <t>FCC2300411</t>
  </si>
  <si>
    <t>23-S-1.921</t>
  </si>
  <si>
    <t>FCC2300432</t>
  </si>
  <si>
    <t>230441</t>
  </si>
  <si>
    <t>FCC2300433</t>
  </si>
  <si>
    <t>230438</t>
  </si>
  <si>
    <t>FCC2300434</t>
  </si>
  <si>
    <t>TB-2023-F 18</t>
  </si>
  <si>
    <t>FCC2300435</t>
  </si>
  <si>
    <t>23/271</t>
  </si>
  <si>
    <t>FCC2300436</t>
  </si>
  <si>
    <t>FNLC109230002620</t>
  </si>
  <si>
    <t>FCC2300437</t>
  </si>
  <si>
    <t>F23/901</t>
  </si>
  <si>
    <t>FCC2300438</t>
  </si>
  <si>
    <t>G2300306</t>
  </si>
  <si>
    <t>FCC2300440</t>
  </si>
  <si>
    <t>INPL/23/05/09/02243</t>
  </si>
  <si>
    <t>FCC2300444</t>
  </si>
  <si>
    <t>G2300317</t>
  </si>
  <si>
    <t>FCC2300445</t>
  </si>
  <si>
    <t>799/23</t>
  </si>
  <si>
    <t>FCC2300492</t>
  </si>
  <si>
    <t>09230530030005294</t>
  </si>
  <si>
    <t>FCC2300493</t>
  </si>
  <si>
    <t>09230530030002838</t>
  </si>
  <si>
    <t>FCC2300494</t>
  </si>
  <si>
    <t>21230530030010465</t>
  </si>
  <si>
    <t>FCC2300495</t>
  </si>
  <si>
    <t>21230530030010464</t>
  </si>
  <si>
    <t>FCC2300496</t>
  </si>
  <si>
    <t>21230530030010463</t>
  </si>
  <si>
    <t>FCC2300497</t>
  </si>
  <si>
    <t>21230530030018897</t>
  </si>
  <si>
    <t>FCC2300498</t>
  </si>
  <si>
    <t>21230530030017986</t>
  </si>
  <si>
    <t>FCC2300499</t>
  </si>
  <si>
    <t>21230530030010618</t>
  </si>
  <si>
    <t>FCC2300500</t>
  </si>
  <si>
    <t>21230530030009059</t>
  </si>
  <si>
    <t>FCC2300501</t>
  </si>
  <si>
    <t>21230530030009058</t>
  </si>
  <si>
    <t>FCC2300502</t>
  </si>
  <si>
    <t>21230530030003559</t>
  </si>
  <si>
    <t>FCC2300503</t>
  </si>
  <si>
    <t>21230530030008222</t>
  </si>
  <si>
    <t>FCC2300504</t>
  </si>
  <si>
    <t>21230530030000031</t>
  </si>
  <si>
    <t>FCC2300505</t>
  </si>
  <si>
    <t>21230530030000025</t>
  </si>
  <si>
    <t>FCC2300506</t>
  </si>
  <si>
    <t>21230530030000024</t>
  </si>
  <si>
    <t>FCC2300507</t>
  </si>
  <si>
    <t>21230530030000023</t>
  </si>
  <si>
    <t>FCC2300562</t>
  </si>
  <si>
    <t>F23041</t>
  </si>
  <si>
    <t>FCC2300563</t>
  </si>
  <si>
    <t>F23042</t>
  </si>
  <si>
    <t>FCC2300565</t>
  </si>
  <si>
    <t>G2300425</t>
  </si>
  <si>
    <t>FCC2300566</t>
  </si>
  <si>
    <t>F202332</t>
  </si>
  <si>
    <t>FCC2300568</t>
  </si>
  <si>
    <t>0000181</t>
  </si>
  <si>
    <t>FCC2300569</t>
  </si>
  <si>
    <t>0000180</t>
  </si>
  <si>
    <t>FCC2300570</t>
  </si>
  <si>
    <t>0000470</t>
  </si>
  <si>
    <t>FCC2300571</t>
  </si>
  <si>
    <t>0000469</t>
  </si>
  <si>
    <t>FCC2300542</t>
  </si>
  <si>
    <t>F23040</t>
  </si>
  <si>
    <t>FCC2300543</t>
  </si>
  <si>
    <t>5317421</t>
  </si>
  <si>
    <t>FCC2300544</t>
  </si>
  <si>
    <t>28-F3U1-109189</t>
  </si>
  <si>
    <t>FCC2300545</t>
  </si>
  <si>
    <t>TA74F0060325</t>
  </si>
  <si>
    <t>FCC2300546</t>
  </si>
  <si>
    <t>2023/2347</t>
  </si>
  <si>
    <t>FCC2300547</t>
  </si>
  <si>
    <t>23-S-2.470</t>
  </si>
  <si>
    <t>FCC2300403</t>
  </si>
  <si>
    <t>FBADS-700-102498112</t>
  </si>
  <si>
    <t>FCC2300427</t>
  </si>
  <si>
    <t>09230418010046101</t>
  </si>
  <si>
    <t>FCC2300447</t>
  </si>
  <si>
    <t>9230344934</t>
  </si>
  <si>
    <t>FCC2300450</t>
  </si>
  <si>
    <t>E0300NGN9L</t>
  </si>
  <si>
    <t>FCC2300451</t>
  </si>
  <si>
    <t>E0300NG9N3</t>
  </si>
  <si>
    <t>FCC2300452</t>
  </si>
  <si>
    <t>2023/000247</t>
  </si>
  <si>
    <t>FCC2300454</t>
  </si>
  <si>
    <t>F23032</t>
  </si>
  <si>
    <t>FCC2300455</t>
  </si>
  <si>
    <t>F23031</t>
  </si>
  <si>
    <t>FCC2300456</t>
  </si>
  <si>
    <t>f23033</t>
  </si>
  <si>
    <t>FCC2300469</t>
  </si>
  <si>
    <t>TB-2023-Z 1</t>
  </si>
  <si>
    <t>FCC2300470</t>
  </si>
  <si>
    <t>230.536</t>
  </si>
  <si>
    <t>FCC2300471</t>
  </si>
  <si>
    <t>230.495</t>
  </si>
  <si>
    <t>FCC2300472</t>
  </si>
  <si>
    <t>863/23</t>
  </si>
  <si>
    <t>FCC2300463</t>
  </si>
  <si>
    <t>FSBR23-00233</t>
  </si>
  <si>
    <t>FCC2300464</t>
  </si>
  <si>
    <t>V2306187</t>
  </si>
  <si>
    <t>FCC2300476</t>
  </si>
  <si>
    <t>A 00230564</t>
  </si>
  <si>
    <t>FCC2300477</t>
  </si>
  <si>
    <t>GIP/20230167</t>
  </si>
  <si>
    <t>FCC2300484</t>
  </si>
  <si>
    <t>G2300240</t>
  </si>
  <si>
    <t>FCC2300485</t>
  </si>
  <si>
    <t>4740076697</t>
  </si>
  <si>
    <t>FCC2300509</t>
  </si>
  <si>
    <t>2023/05</t>
  </si>
  <si>
    <t>FCC2300510</t>
  </si>
  <si>
    <t>GIP/20230221</t>
  </si>
  <si>
    <t>FCC2300523</t>
  </si>
  <si>
    <t>965/23</t>
  </si>
  <si>
    <t>FCC2300524</t>
  </si>
  <si>
    <t>F23/1105</t>
  </si>
  <si>
    <t>FCC2300525</t>
  </si>
  <si>
    <t>FBADS-700-102584559</t>
  </si>
  <si>
    <t>FCC2300526</t>
  </si>
  <si>
    <t>H23/375</t>
  </si>
  <si>
    <t>FCC2300549</t>
  </si>
  <si>
    <t>027GH6T</t>
  </si>
  <si>
    <t>FCC2300550</t>
  </si>
  <si>
    <t>0275EXR</t>
  </si>
  <si>
    <t>FCC2300553</t>
  </si>
  <si>
    <t>TB-2023-F 1</t>
  </si>
  <si>
    <t>FCC2300512</t>
  </si>
  <si>
    <t>2022/116</t>
  </si>
  <si>
    <t>FCC2300533</t>
  </si>
  <si>
    <t>F000002981</t>
  </si>
  <si>
    <t>FCC2300537</t>
  </si>
  <si>
    <t>FBADS-700-102510619</t>
  </si>
  <si>
    <t>FCC2300556</t>
  </si>
  <si>
    <t>C00259/2023</t>
  </si>
  <si>
    <t>FCC2300557</t>
  </si>
  <si>
    <t>42</t>
  </si>
  <si>
    <t>FCC2300320</t>
  </si>
  <si>
    <t>F23-00041</t>
  </si>
  <si>
    <t>FCC2300321</t>
  </si>
  <si>
    <t>TB-2023-F 19</t>
  </si>
  <si>
    <t>FCC2300322</t>
  </si>
  <si>
    <t>37/C</t>
  </si>
  <si>
    <t>FCC2300324</t>
  </si>
  <si>
    <t>00000112</t>
  </si>
  <si>
    <t>FCC2300328</t>
  </si>
  <si>
    <t>FCC2300350</t>
  </si>
  <si>
    <t>850/23</t>
  </si>
  <si>
    <t>FCC2300351</t>
  </si>
  <si>
    <t>2023001411</t>
  </si>
  <si>
    <t>FCC2300363</t>
  </si>
  <si>
    <t>TB-2023-F 2</t>
  </si>
  <si>
    <t>FCC2300424</t>
  </si>
  <si>
    <t>FCC2300425</t>
  </si>
  <si>
    <t>0000181416</t>
  </si>
  <si>
    <t>FCC2300446</t>
  </si>
  <si>
    <t>AA23000070</t>
  </si>
  <si>
    <t>FCC2300448</t>
  </si>
  <si>
    <t>FVR23-04090</t>
  </si>
  <si>
    <t>FCC2300462</t>
  </si>
  <si>
    <t>F2023128</t>
  </si>
  <si>
    <t>FCC2300466</t>
  </si>
  <si>
    <t>FVR23-04463</t>
  </si>
  <si>
    <t>FCC2300491</t>
  </si>
  <si>
    <t>3184312023</t>
  </si>
  <si>
    <t>FCC2300508</t>
  </si>
  <si>
    <t>0/002668/2023</t>
  </si>
  <si>
    <t>FCC2300513</t>
  </si>
  <si>
    <t>12023/234583</t>
  </si>
  <si>
    <t>FCC2300514</t>
  </si>
  <si>
    <t>PC/2306225</t>
  </si>
  <si>
    <t>FCC2300515</t>
  </si>
  <si>
    <t>09-S/23-00555</t>
  </si>
  <si>
    <t>FCC2300511</t>
  </si>
  <si>
    <t>102398/23</t>
  </si>
  <si>
    <t>FCC2300554</t>
  </si>
  <si>
    <t>0000180913</t>
  </si>
  <si>
    <t>FCC2300329</t>
  </si>
  <si>
    <t>427/2023</t>
  </si>
  <si>
    <t>FCC2300330</t>
  </si>
  <si>
    <t>CONTRATO 699</t>
  </si>
  <si>
    <t>FCC2300353</t>
  </si>
  <si>
    <t>2500948/AM</t>
  </si>
  <si>
    <t>FCC2300378</t>
  </si>
  <si>
    <t>P20006373</t>
  </si>
  <si>
    <t>FCC2300381</t>
  </si>
  <si>
    <t>4303848</t>
  </si>
  <si>
    <t>FCC2300441</t>
  </si>
  <si>
    <t>4304149</t>
  </si>
  <si>
    <t>FCC2300442</t>
  </si>
  <si>
    <t>534/2023</t>
  </si>
  <si>
    <t>FCC2300449</t>
  </si>
  <si>
    <t>230565</t>
  </si>
  <si>
    <t>FCC2300453</t>
  </si>
  <si>
    <t>230570</t>
  </si>
  <si>
    <t>FCC2300457</t>
  </si>
  <si>
    <t>CONTRATO 875</t>
  </si>
  <si>
    <t>FCC2300468</t>
  </si>
  <si>
    <t>202301468</t>
  </si>
  <si>
    <t>FCC2300473</t>
  </si>
  <si>
    <t>A/001872</t>
  </si>
  <si>
    <t>FCC2300474</t>
  </si>
  <si>
    <t>A/001870</t>
  </si>
  <si>
    <t>FCC2300475</t>
  </si>
  <si>
    <t>A/001871</t>
  </si>
  <si>
    <t>FCC2300488</t>
  </si>
  <si>
    <t>4304827</t>
  </si>
  <si>
    <t>FCC2300490</t>
  </si>
  <si>
    <t>4304151</t>
  </si>
  <si>
    <t>FCC2300516</t>
  </si>
  <si>
    <t>INV-2023-11090</t>
  </si>
  <si>
    <t>FCC2300522</t>
  </si>
  <si>
    <t>RI/23027414</t>
  </si>
  <si>
    <t>FCC2300548</t>
  </si>
  <si>
    <t>INV-2023-11100</t>
  </si>
  <si>
    <t>FCC2300559</t>
  </si>
  <si>
    <t>2023/804</t>
  </si>
  <si>
    <t>FCC2300349</t>
  </si>
  <si>
    <t>4171</t>
  </si>
  <si>
    <t>FCC2300352</t>
  </si>
  <si>
    <t>GZ8125</t>
  </si>
  <si>
    <t>FCC2300369</t>
  </si>
  <si>
    <t>4759</t>
  </si>
  <si>
    <t>FCC2300371</t>
  </si>
  <si>
    <t>7250197123</t>
  </si>
  <si>
    <t>FCC2300372</t>
  </si>
  <si>
    <t>7250197122</t>
  </si>
  <si>
    <t>FCC2300375</t>
  </si>
  <si>
    <t>AA23001191</t>
  </si>
  <si>
    <t>FCC2300402</t>
  </si>
  <si>
    <t>202301195</t>
  </si>
  <si>
    <t>FCC2300405</t>
  </si>
  <si>
    <t>12/2023</t>
  </si>
  <si>
    <t>FCC2300407</t>
  </si>
  <si>
    <t>07/2023</t>
  </si>
  <si>
    <t>FCC2300413</t>
  </si>
  <si>
    <t>13/2023</t>
  </si>
  <si>
    <t>FCC2300426</t>
  </si>
  <si>
    <t>FS2/2023/00009969</t>
  </si>
  <si>
    <t>FCC2300479</t>
  </si>
  <si>
    <t>5416</t>
  </si>
  <si>
    <t>FCC2300481</t>
  </si>
  <si>
    <t>HB2217</t>
  </si>
  <si>
    <t>FCC2300482</t>
  </si>
  <si>
    <t>FS2/2023/00011099</t>
  </si>
  <si>
    <t>FCC2300518</t>
  </si>
  <si>
    <t>AA23001366</t>
  </si>
  <si>
    <t>FCC2300519</t>
  </si>
  <si>
    <t>AA23001415</t>
  </si>
  <si>
    <t>FCC2300520</t>
  </si>
  <si>
    <t>AA23001337</t>
  </si>
  <si>
    <t>FCC2300538</t>
  </si>
  <si>
    <t>FS2/2023/00012439</t>
  </si>
  <si>
    <t>FCC2300539</t>
  </si>
  <si>
    <t>FS2/2023/00011708</t>
  </si>
  <si>
    <t>FCC2300540</t>
  </si>
  <si>
    <t>FS2/2023/00013042</t>
  </si>
  <si>
    <t>FCC2300541</t>
  </si>
  <si>
    <t>FS2/2023/00013037</t>
  </si>
  <si>
    <t>FCC2300527</t>
  </si>
  <si>
    <t>6548</t>
  </si>
  <si>
    <t>FCC2300561</t>
  </si>
  <si>
    <t>AA23001608</t>
  </si>
  <si>
    <t>zenbat</t>
  </si>
  <si>
    <t>FCC2300467</t>
  </si>
  <si>
    <t>23005842</t>
  </si>
  <si>
    <t>FCC2300567</t>
  </si>
  <si>
    <t>IT-2214206055-2023-163</t>
  </si>
  <si>
    <t>FCC2300560</t>
  </si>
  <si>
    <t>7497</t>
  </si>
  <si>
    <t>FCC2300564</t>
  </si>
  <si>
    <t>CONTRATO 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</si>
</sst>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2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/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2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6" fillId="7" borderId="20" xfId="0" applyNumberFormat="1" applyFont="1" applyFill="1" applyBorder="1"/>
    <xf numFmtId="4" fontId="6" fillId="7" borderId="21" xfId="0" applyNumberFormat="1" applyFont="1" applyFill="1" applyBorder="1"/>
    <xf numFmtId="3" fontId="6" fillId="7" borderId="22" xfId="0" applyNumberFormat="1" applyFont="1" applyFill="1" applyBorder="1"/>
    <xf numFmtId="4" fontId="6" fillId="7" borderId="23" xfId="0" applyNumberFormat="1" applyFont="1" applyFill="1" applyBorder="1"/>
    <xf numFmtId="3" fontId="6" fillId="7" borderId="23" xfId="0" applyNumberFormat="1" applyFont="1" applyFill="1" applyBorder="1"/>
    <xf numFmtId="3" fontId="6" fillId="7" borderId="24" xfId="0" applyNumberFormat="1" applyFont="1" applyFill="1" applyBorder="1"/>
    <xf numFmtId="4" fontId="6" fillId="7" borderId="25" xfId="0" applyNumberFormat="1" applyFont="1" applyFill="1" applyBorder="1"/>
    <xf numFmtId="4" fontId="6" fillId="7" borderId="26" xfId="0" applyNumberFormat="1" applyFont="1" applyFill="1" applyBorder="1"/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4" fontId="4" fillId="0" borderId="29" xfId="0" applyNumberFormat="1" applyFont="1" applyBorder="1"/>
    <xf numFmtId="4" fontId="6" fillId="7" borderId="22" xfId="0" applyNumberFormat="1" applyFont="1" applyFill="1" applyBorder="1"/>
    <xf numFmtId="4" fontId="6" fillId="7" borderId="30" xfId="0" applyNumberFormat="1" applyFont="1" applyFill="1" applyBorder="1"/>
    <xf numFmtId="2" fontId="4" fillId="0" borderId="29" xfId="0" applyNumberFormat="1" applyFont="1" applyBorder="1"/>
    <xf numFmtId="2" fontId="6" fillId="7" borderId="23" xfId="0" applyNumberFormat="1" applyFont="1" applyFill="1" applyBorder="1"/>
    <xf numFmtId="2" fontId="6" fillId="7" borderId="30" xfId="0" applyNumberFormat="1" applyFont="1" applyFill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31" xfId="0" applyNumberFormat="1" applyFont="1" applyBorder="1"/>
    <xf numFmtId="3" fontId="4" fillId="0" borderId="32" xfId="0" applyNumberFormat="1" applyFont="1" applyBorder="1"/>
    <xf numFmtId="4" fontId="6" fillId="7" borderId="29" xfId="0" applyNumberFormat="1" applyFont="1" applyFill="1" applyBorder="1"/>
    <xf numFmtId="0" fontId="4" fillId="0" borderId="33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9" borderId="32" xfId="0" applyNumberFormat="1" applyFont="1" applyFill="1" applyBorder="1"/>
    <xf numFmtId="4" fontId="4" fillId="9" borderId="34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29" xfId="0" applyNumberFormat="1" applyFont="1" applyFill="1" applyBorder="1"/>
    <xf numFmtId="0" fontId="4" fillId="0" borderId="35" xfId="0" applyFont="1" applyBorder="1"/>
    <xf numFmtId="0" fontId="4" fillId="0" borderId="36" xfId="0" applyFont="1" applyBorder="1"/>
    <xf numFmtId="4" fontId="17" fillId="0" borderId="0" xfId="0" applyNumberFormat="1" applyFont="1"/>
    <xf numFmtId="0" fontId="17" fillId="0" borderId="0" xfId="0" applyFont="1"/>
    <xf numFmtId="2" fontId="18" fillId="0" borderId="0" xfId="0" applyNumberFormat="1" applyFont="1"/>
    <xf numFmtId="0" fontId="4" fillId="0" borderId="37" xfId="0" applyFont="1" applyBorder="1"/>
    <xf numFmtId="14" fontId="4" fillId="10" borderId="0" xfId="0" applyNumberFormat="1" applyFont="1" applyFill="1"/>
    <xf numFmtId="49" fontId="19" fillId="0" borderId="0" xfId="1" applyNumberFormat="1"/>
    <xf numFmtId="14" fontId="19" fillId="0" borderId="0" xfId="1" applyNumberFormat="1"/>
    <xf numFmtId="4" fontId="19" fillId="0" borderId="0" xfId="1" applyNumberFormat="1"/>
    <xf numFmtId="164" fontId="20" fillId="0" borderId="0" xfId="0" applyNumberFormat="1" applyFont="1"/>
    <xf numFmtId="2" fontId="21" fillId="0" borderId="0" xfId="0" applyNumberFormat="1" applyFont="1"/>
    <xf numFmtId="0" fontId="19" fillId="0" borderId="0" xfId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6" fillId="6" borderId="2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4" fillId="9" borderId="56" xfId="0" applyFont="1" applyFill="1" applyBorder="1" applyAlignment="1">
      <alignment horizontal="left" vertical="top" wrapText="1"/>
    </xf>
    <xf numFmtId="0" fontId="4" fillId="9" borderId="57" xfId="0" applyFont="1" applyFill="1" applyBorder="1" applyAlignment="1">
      <alignment horizontal="left" vertical="top" wrapText="1"/>
    </xf>
    <xf numFmtId="0" fontId="6" fillId="12" borderId="58" xfId="0" applyFont="1" applyFill="1" applyBorder="1" applyAlignment="1">
      <alignment horizontal="right"/>
    </xf>
    <xf numFmtId="0" fontId="6" fillId="12" borderId="59" xfId="0" applyFont="1" applyFill="1" applyBorder="1" applyAlignment="1">
      <alignment horizontal="right"/>
    </xf>
    <xf numFmtId="0" fontId="6" fillId="12" borderId="60" xfId="0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1" xfId="0" applyFont="1" applyBorder="1"/>
    <xf numFmtId="0" fontId="4" fillId="0" borderId="43" xfId="0" applyFont="1" applyBorder="1"/>
    <xf numFmtId="0" fontId="6" fillId="6" borderId="61" xfId="0" applyFont="1" applyFill="1" applyBorder="1" applyAlignment="1">
      <alignment horizontal="center" wrapText="1"/>
    </xf>
    <xf numFmtId="0" fontId="4" fillId="0" borderId="62" xfId="0" applyFont="1" applyBorder="1"/>
    <xf numFmtId="0" fontId="4" fillId="0" borderId="5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6" fillId="6" borderId="64" xfId="0" applyFont="1" applyFill="1" applyBorder="1" applyAlignment="1">
      <alignment horizontal="center" wrapText="1"/>
    </xf>
    <xf numFmtId="0" fontId="6" fillId="6" borderId="49" xfId="0" applyFont="1" applyFill="1" applyBorder="1" applyAlignment="1">
      <alignment horizontal="center" wrapText="1"/>
    </xf>
    <xf numFmtId="0" fontId="4" fillId="0" borderId="0" xfId="0" applyFont="1"/>
    <xf numFmtId="0" fontId="4" fillId="0" borderId="46" xfId="0" applyFont="1" applyBorder="1"/>
    <xf numFmtId="49" fontId="4" fillId="0" borderId="0" xfId="0" applyNumberFormat="1" applyFont="1" applyAlignment="1">
      <alignment horizontal="left"/>
    </xf>
    <xf numFmtId="49" fontId="4" fillId="0" borderId="46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50" xfId="0" applyFont="1" applyBorder="1"/>
    <xf numFmtId="0" fontId="6" fillId="12" borderId="55" xfId="0" applyFont="1" applyFill="1" applyBorder="1" applyAlignment="1">
      <alignment horizontal="right"/>
    </xf>
    <xf numFmtId="0" fontId="6" fillId="12" borderId="23" xfId="0" applyFont="1" applyFill="1" applyBorder="1" applyAlignment="1">
      <alignment horizontal="right"/>
    </xf>
    <xf numFmtId="0" fontId="6" fillId="12" borderId="21" xfId="0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33" xfId="0" applyFont="1" applyFill="1" applyBorder="1"/>
    <xf numFmtId="0" fontId="6" fillId="7" borderId="0" xfId="0" applyFont="1" applyFill="1"/>
    <xf numFmtId="0" fontId="6" fillId="7" borderId="47" xfId="0" applyFont="1" applyFill="1" applyBorder="1" applyAlignment="1">
      <alignment horizontal="right"/>
    </xf>
    <xf numFmtId="0" fontId="6" fillId="7" borderId="48" xfId="0" applyFont="1" applyFill="1" applyBorder="1" applyAlignment="1">
      <alignment horizontal="right"/>
    </xf>
    <xf numFmtId="0" fontId="4" fillId="0" borderId="39" xfId="0" applyFont="1" applyBorder="1"/>
    <xf numFmtId="0" fontId="4" fillId="0" borderId="54" xfId="0" applyFont="1" applyBorder="1"/>
    <xf numFmtId="0" fontId="6" fillId="12" borderId="51" xfId="0" applyFont="1" applyFill="1" applyBorder="1" applyAlignment="1">
      <alignment horizontal="right"/>
    </xf>
    <xf numFmtId="0" fontId="6" fillId="12" borderId="52" xfId="0" applyFont="1" applyFill="1" applyBorder="1" applyAlignment="1">
      <alignment horizontal="right"/>
    </xf>
    <xf numFmtId="0" fontId="6" fillId="12" borderId="53" xfId="0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/>
    </xf>
    <xf numFmtId="0" fontId="6" fillId="6" borderId="4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3" fillId="11" borderId="38" xfId="0" applyFont="1" applyFill="1" applyBorder="1" applyAlignment="1">
      <alignment horizontal="center"/>
    </xf>
    <xf numFmtId="0" fontId="13" fillId="11" borderId="39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4" fillId="6" borderId="0" xfId="0" applyFont="1" applyFill="1"/>
    <xf numFmtId="164" fontId="4" fillId="0" borderId="0" xfId="0" applyNumberFormat="1" applyFont="1" applyAlignment="1">
      <alignment horizontal="center"/>
    </xf>
    <xf numFmtId="49" fontId="0" fillId="13" borderId="0" xfId="0" applyNumberFormat="1" applyFill="1"/>
    <xf numFmtId="14" fontId="0" fillId="13" borderId="0" xfId="0" applyNumberFormat="1" applyFill="1"/>
    <xf numFmtId="4" fontId="0" fillId="13" borderId="0" xfId="0" applyNumberFormat="1" applyFill="1"/>
    <xf numFmtId="0" fontId="0" fillId="13" borderId="0" xfId="0" applyFill="1"/>
    <xf numFmtId="0" fontId="4" fillId="13" borderId="0" xfId="0" applyFont="1" applyFill="1"/>
    <xf numFmtId="164" fontId="4" fillId="13" borderId="0" xfId="0" applyNumberFormat="1" applyFont="1" applyFill="1"/>
    <xf numFmtId="14" fontId="4" fillId="13" borderId="0" xfId="0" applyNumberFormat="1" applyFont="1" applyFill="1"/>
    <xf numFmtId="3" fontId="4" fillId="13" borderId="0" xfId="0" applyNumberFormat="1" applyFont="1" applyFill="1"/>
    <xf numFmtId="4" fontId="4" fillId="13" borderId="0" xfId="0" applyNumberFormat="1" applyFont="1" applyFill="1"/>
    <xf numFmtId="49" fontId="0" fillId="14" borderId="0" xfId="0" applyNumberFormat="1" applyFill="1"/>
    <xf numFmtId="14" fontId="0" fillId="14" borderId="0" xfId="0" applyNumberFormat="1" applyFill="1"/>
    <xf numFmtId="4" fontId="0" fillId="14" borderId="0" xfId="0" applyNumberFormat="1" applyFill="1"/>
    <xf numFmtId="0" fontId="0" fillId="14" borderId="0" xfId="0" applyFill="1"/>
    <xf numFmtId="0" fontId="4" fillId="14" borderId="0" xfId="0" applyFont="1" applyFill="1"/>
    <xf numFmtId="164" fontId="4" fillId="14" borderId="0" xfId="0" applyNumberFormat="1" applyFont="1" applyFill="1"/>
    <xf numFmtId="14" fontId="4" fillId="14" borderId="0" xfId="0" applyNumberFormat="1" applyFont="1" applyFill="1"/>
    <xf numFmtId="3" fontId="4" fillId="14" borderId="0" xfId="0" applyNumberFormat="1" applyFont="1" applyFill="1"/>
    <xf numFmtId="4" fontId="4" fillId="14" borderId="0" xfId="0" applyNumberFormat="1" applyFont="1" applyFill="1"/>
    <xf numFmtId="49" fontId="0" fillId="15" borderId="0" xfId="0" applyNumberFormat="1" applyFill="1"/>
    <xf numFmtId="14" fontId="0" fillId="15" borderId="0" xfId="0" applyNumberFormat="1" applyFill="1"/>
    <xf numFmtId="4" fontId="0" fillId="15" borderId="0" xfId="0" applyNumberFormat="1" applyFill="1"/>
    <xf numFmtId="0" fontId="0" fillId="15" borderId="0" xfId="0" applyFill="1"/>
    <xf numFmtId="0" fontId="4" fillId="15" borderId="0" xfId="0" applyFont="1" applyFill="1"/>
    <xf numFmtId="164" fontId="4" fillId="15" borderId="0" xfId="0" applyNumberFormat="1" applyFont="1" applyFill="1"/>
    <xf numFmtId="14" fontId="4" fillId="15" borderId="0" xfId="0" applyNumberFormat="1" applyFont="1" applyFill="1"/>
    <xf numFmtId="3" fontId="4" fillId="15" borderId="0" xfId="0" applyNumberFormat="1" applyFont="1" applyFill="1"/>
    <xf numFmtId="4" fontId="4" fillId="15" borderId="0" xfId="0" applyNumberFormat="1" applyFont="1" applyFill="1"/>
    <xf numFmtId="49" fontId="0" fillId="16" borderId="0" xfId="0" applyNumberFormat="1" applyFill="1"/>
    <xf numFmtId="14" fontId="0" fillId="16" borderId="0" xfId="0" applyNumberFormat="1" applyFill="1"/>
    <xf numFmtId="4" fontId="0" fillId="16" borderId="0" xfId="0" applyNumberFormat="1" applyFill="1"/>
    <xf numFmtId="0" fontId="0" fillId="16" borderId="0" xfId="0" applyFill="1"/>
    <xf numFmtId="0" fontId="4" fillId="16" borderId="0" xfId="0" applyFont="1" applyFill="1"/>
    <xf numFmtId="164" fontId="4" fillId="16" borderId="0" xfId="0" applyNumberFormat="1" applyFont="1" applyFill="1"/>
    <xf numFmtId="14" fontId="4" fillId="16" borderId="0" xfId="0" applyNumberFormat="1" applyFont="1" applyFill="1"/>
    <xf numFmtId="3" fontId="4" fillId="16" borderId="0" xfId="0" applyNumberFormat="1" applyFont="1" applyFill="1"/>
    <xf numFmtId="4" fontId="4" fillId="16" borderId="0" xfId="0" applyNumberFormat="1" applyFont="1" applyFill="1"/>
    <xf numFmtId="49" fontId="0" fillId="17" borderId="0" xfId="0" applyNumberFormat="1" applyFill="1"/>
    <xf numFmtId="14" fontId="0" fillId="17" borderId="0" xfId="0" applyNumberFormat="1" applyFill="1"/>
    <xf numFmtId="4" fontId="0" fillId="17" borderId="0" xfId="0" applyNumberFormat="1" applyFill="1"/>
    <xf numFmtId="0" fontId="0" fillId="17" borderId="0" xfId="0" applyFill="1"/>
    <xf numFmtId="0" fontId="4" fillId="17" borderId="0" xfId="0" applyFont="1" applyFill="1"/>
    <xf numFmtId="164" fontId="4" fillId="17" borderId="0" xfId="0" applyNumberFormat="1" applyFont="1" applyFill="1"/>
    <xf numFmtId="14" fontId="4" fillId="17" borderId="0" xfId="0" applyNumberFormat="1" applyFont="1" applyFill="1"/>
    <xf numFmtId="3" fontId="4" fillId="17" borderId="0" xfId="0" applyNumberFormat="1" applyFont="1" applyFill="1"/>
    <xf numFmtId="4" fontId="4" fillId="17" borderId="0" xfId="0" applyNumberFormat="1" applyFont="1" applyFill="1"/>
    <xf numFmtId="4" fontId="0" fillId="17" borderId="65" xfId="0" applyNumberFormat="1" applyFill="1" applyBorder="1"/>
    <xf numFmtId="4" fontId="4" fillId="0" borderId="65" xfId="0" applyNumberFormat="1" applyFont="1" applyBorder="1"/>
    <xf numFmtId="0" fontId="4" fillId="0" borderId="65" xfId="0" applyFont="1" applyBorder="1"/>
    <xf numFmtId="14" fontId="4" fillId="0" borderId="0" xfId="0" applyNumberFormat="1" applyFont="1"/>
    <xf numFmtId="4" fontId="0" fillId="0" borderId="65" xfId="0" applyNumberFormat="1" applyBorder="1"/>
    <xf numFmtId="4" fontId="4" fillId="0" borderId="66" xfId="0" applyNumberFormat="1" applyFont="1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C4531148-AF28-4F54-BF82-8E0ED3851AB4}"/>
    <cellStyle name="Normala 4" xfId="4" xr:uid="{4290611D-8064-44BC-A646-06D06D6E7919}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ontabilidad/Contabilidad/BERANKORTASUNA/2022/OARSOALDEA/2go%20HIRUHILEKOA/BERANKORTASUNA%203go%20HIRUHILEKOA%20OARS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XCEL\Contabilidad\Contabilidad\BERANKORTASUNA\2023\OARSOALDEA\2go%20HIRUHILEKOA\BERANKORTASUNA%202go%20HIRUHILEKOA.xlsx" TargetMode="External"/><Relationship Id="rId1" Type="http://schemas.openxmlformats.org/officeDocument/2006/relationships/externalLinkPath" Target="BERANKORTASUNA%202go%20HIRUHILEK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OSTENA"/>
      <sheetName val="xehet1"/>
      <sheetName val="xehet2"/>
      <sheetName val="xehet32"/>
    </sheetNames>
    <sheetDataSet>
      <sheetData sheetId="0" refreshError="1"/>
      <sheetData sheetId="1" refreshError="1"/>
      <sheetData sheetId="2" refreshError="1">
        <row r="8">
          <cell r="D8" t="str">
            <v>Zenbatekoa</v>
          </cell>
          <cell r="T8" t="str">
            <v>ponderazioa 1</v>
          </cell>
          <cell r="V8" t="str">
            <v>Epean</v>
          </cell>
        </row>
        <row r="9">
          <cell r="D9">
            <v>18150</v>
          </cell>
          <cell r="T9">
            <v>0</v>
          </cell>
          <cell r="V9">
            <v>129</v>
          </cell>
        </row>
        <row r="10">
          <cell r="D10">
            <v>677.6</v>
          </cell>
          <cell r="T10">
            <v>0</v>
          </cell>
          <cell r="V10">
            <v>121</v>
          </cell>
        </row>
        <row r="11">
          <cell r="D11">
            <v>5</v>
          </cell>
          <cell r="T11">
            <v>0</v>
          </cell>
          <cell r="V11">
            <v>121</v>
          </cell>
        </row>
        <row r="12">
          <cell r="D12">
            <v>214.9</v>
          </cell>
          <cell r="T12">
            <v>0</v>
          </cell>
          <cell r="V12">
            <v>121</v>
          </cell>
        </row>
        <row r="13">
          <cell r="D13">
            <v>290.39999999999998</v>
          </cell>
          <cell r="T13">
            <v>0</v>
          </cell>
          <cell r="V13">
            <v>121</v>
          </cell>
        </row>
        <row r="14">
          <cell r="D14">
            <v>507.23</v>
          </cell>
          <cell r="T14">
            <v>0</v>
          </cell>
          <cell r="V14">
            <v>129</v>
          </cell>
        </row>
        <row r="15">
          <cell r="D15">
            <v>98.02</v>
          </cell>
          <cell r="T15">
            <v>0</v>
          </cell>
          <cell r="V15">
            <v>121</v>
          </cell>
        </row>
        <row r="16">
          <cell r="D16">
            <v>6</v>
          </cell>
          <cell r="T16">
            <v>0</v>
          </cell>
          <cell r="V16">
            <v>121</v>
          </cell>
        </row>
        <row r="17">
          <cell r="D17">
            <v>18.07</v>
          </cell>
          <cell r="T17">
            <v>0</v>
          </cell>
          <cell r="V17">
            <v>129</v>
          </cell>
        </row>
        <row r="18">
          <cell r="D18">
            <v>337.03</v>
          </cell>
          <cell r="T18">
            <v>0</v>
          </cell>
          <cell r="V18">
            <v>129</v>
          </cell>
        </row>
        <row r="19">
          <cell r="D19">
            <v>316.45999999999998</v>
          </cell>
          <cell r="T19">
            <v>0</v>
          </cell>
          <cell r="V19">
            <v>129</v>
          </cell>
        </row>
        <row r="20">
          <cell r="D20">
            <v>490.85</v>
          </cell>
          <cell r="T20">
            <v>0</v>
          </cell>
          <cell r="V20">
            <v>129</v>
          </cell>
        </row>
        <row r="21">
          <cell r="D21">
            <v>25.81</v>
          </cell>
          <cell r="T21">
            <v>0</v>
          </cell>
          <cell r="V21">
            <v>129</v>
          </cell>
        </row>
        <row r="22">
          <cell r="D22">
            <v>32.56</v>
          </cell>
          <cell r="T22">
            <v>0</v>
          </cell>
          <cell r="V22">
            <v>129</v>
          </cell>
        </row>
        <row r="23">
          <cell r="D23">
            <v>709.04</v>
          </cell>
          <cell r="T23">
            <v>0</v>
          </cell>
          <cell r="V23">
            <v>129</v>
          </cell>
        </row>
        <row r="24">
          <cell r="D24">
            <v>17.93</v>
          </cell>
          <cell r="T24">
            <v>0</v>
          </cell>
          <cell r="V24">
            <v>129</v>
          </cell>
        </row>
        <row r="25">
          <cell r="D25">
            <v>16.2</v>
          </cell>
          <cell r="T25">
            <v>0</v>
          </cell>
          <cell r="V25">
            <v>129</v>
          </cell>
        </row>
        <row r="26">
          <cell r="D26">
            <v>18.13</v>
          </cell>
          <cell r="T26">
            <v>0</v>
          </cell>
          <cell r="V26">
            <v>129</v>
          </cell>
        </row>
        <row r="27">
          <cell r="D27">
            <v>32.799999999999997</v>
          </cell>
          <cell r="T27">
            <v>0</v>
          </cell>
          <cell r="V27">
            <v>129</v>
          </cell>
        </row>
        <row r="28">
          <cell r="D28">
            <v>234.86</v>
          </cell>
          <cell r="T28">
            <v>0</v>
          </cell>
          <cell r="V28">
            <v>129</v>
          </cell>
        </row>
        <row r="29">
          <cell r="D29">
            <v>10.8</v>
          </cell>
          <cell r="T29">
            <v>0</v>
          </cell>
          <cell r="V29">
            <v>129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XOSTENA"/>
      <sheetName val="xehet1"/>
      <sheetName val="xehet2"/>
      <sheetName val="xehet32"/>
    </sheetNames>
    <sheetDataSet>
      <sheetData sheetId="0"/>
      <sheetData sheetId="1">
        <row r="5">
          <cell r="D5" t="str">
            <v>Zenbatekoa</v>
          </cell>
          <cell r="Q5" t="str">
            <v>Epea
 O-P</v>
          </cell>
        </row>
        <row r="6">
          <cell r="D6">
            <v>681.05</v>
          </cell>
          <cell r="Q6">
            <v>0</v>
          </cell>
        </row>
        <row r="7">
          <cell r="D7">
            <v>205.7</v>
          </cell>
          <cell r="Q7">
            <v>0</v>
          </cell>
        </row>
        <row r="8">
          <cell r="D8">
            <v>807.51</v>
          </cell>
          <cell r="Q8">
            <v>0</v>
          </cell>
        </row>
        <row r="9">
          <cell r="D9">
            <v>61.41</v>
          </cell>
          <cell r="Q9">
            <v>0</v>
          </cell>
        </row>
        <row r="10">
          <cell r="D10">
            <v>82.75</v>
          </cell>
          <cell r="Q10">
            <v>0</v>
          </cell>
        </row>
        <row r="11">
          <cell r="D11">
            <v>404.71</v>
          </cell>
          <cell r="Q11">
            <v>0</v>
          </cell>
        </row>
        <row r="12">
          <cell r="D12">
            <v>681.05</v>
          </cell>
          <cell r="Q12">
            <v>0</v>
          </cell>
        </row>
        <row r="13">
          <cell r="D13">
            <v>205.7</v>
          </cell>
          <cell r="Q13">
            <v>0</v>
          </cell>
        </row>
        <row r="14">
          <cell r="D14">
            <v>1555.94</v>
          </cell>
          <cell r="Q14">
            <v>0</v>
          </cell>
        </row>
        <row r="15">
          <cell r="D15">
            <v>61.41</v>
          </cell>
          <cell r="Q15">
            <v>0</v>
          </cell>
        </row>
        <row r="16">
          <cell r="D16">
            <v>3759.21</v>
          </cell>
          <cell r="Q16">
            <v>0</v>
          </cell>
        </row>
        <row r="17">
          <cell r="D17">
            <v>4717.4399999999996</v>
          </cell>
          <cell r="Q17">
            <v>0</v>
          </cell>
        </row>
        <row r="18">
          <cell r="D18">
            <v>834.14</v>
          </cell>
          <cell r="Q18">
            <v>0</v>
          </cell>
        </row>
        <row r="19">
          <cell r="D19">
            <v>2391.12</v>
          </cell>
          <cell r="Q19">
            <v>0</v>
          </cell>
        </row>
        <row r="20">
          <cell r="D20">
            <v>681.05</v>
          </cell>
          <cell r="Q20">
            <v>0</v>
          </cell>
        </row>
        <row r="21">
          <cell r="D21">
            <v>1555.94</v>
          </cell>
          <cell r="Q21">
            <v>0</v>
          </cell>
        </row>
        <row r="22">
          <cell r="D22">
            <v>333.85</v>
          </cell>
          <cell r="Q22">
            <v>0</v>
          </cell>
        </row>
        <row r="23">
          <cell r="D23">
            <v>834.15</v>
          </cell>
          <cell r="Q23">
            <v>0</v>
          </cell>
        </row>
        <row r="24">
          <cell r="D24">
            <v>334.07</v>
          </cell>
          <cell r="Q24">
            <v>0</v>
          </cell>
        </row>
        <row r="25">
          <cell r="D25">
            <v>334.07</v>
          </cell>
          <cell r="Q25">
            <v>0</v>
          </cell>
        </row>
        <row r="26">
          <cell r="D26">
            <v>948.64</v>
          </cell>
          <cell r="Q26">
            <v>0</v>
          </cell>
        </row>
        <row r="27">
          <cell r="D27">
            <v>1851.3</v>
          </cell>
          <cell r="Q27">
            <v>0</v>
          </cell>
        </row>
        <row r="28">
          <cell r="D28">
            <v>3.84</v>
          </cell>
          <cell r="Q28">
            <v>0</v>
          </cell>
        </row>
        <row r="29">
          <cell r="D29">
            <v>137.34</v>
          </cell>
          <cell r="Q29">
            <v>0</v>
          </cell>
        </row>
        <row r="30">
          <cell r="D30">
            <v>45.2</v>
          </cell>
          <cell r="Q30">
            <v>0</v>
          </cell>
        </row>
        <row r="31">
          <cell r="D31">
            <v>94.5</v>
          </cell>
          <cell r="Q31">
            <v>0</v>
          </cell>
        </row>
        <row r="32">
          <cell r="D32">
            <v>17</v>
          </cell>
          <cell r="Q32">
            <v>0</v>
          </cell>
        </row>
        <row r="33">
          <cell r="D33">
            <v>3163.44</v>
          </cell>
          <cell r="Q33">
            <v>0</v>
          </cell>
        </row>
        <row r="34">
          <cell r="D34">
            <v>55.16</v>
          </cell>
          <cell r="Q34">
            <v>0</v>
          </cell>
        </row>
        <row r="35">
          <cell r="D35">
            <v>1000</v>
          </cell>
          <cell r="Q35">
            <v>0</v>
          </cell>
        </row>
        <row r="36">
          <cell r="D36">
            <v>350.16</v>
          </cell>
          <cell r="Q36">
            <v>0</v>
          </cell>
        </row>
        <row r="37">
          <cell r="D37">
            <v>2904</v>
          </cell>
          <cell r="Q37">
            <v>0</v>
          </cell>
        </row>
        <row r="38">
          <cell r="D38">
            <v>544.5</v>
          </cell>
          <cell r="Q38">
            <v>0</v>
          </cell>
        </row>
        <row r="39">
          <cell r="D39">
            <v>1500.4</v>
          </cell>
          <cell r="Q39">
            <v>0</v>
          </cell>
        </row>
        <row r="40">
          <cell r="D40">
            <v>13.73</v>
          </cell>
          <cell r="Q40">
            <v>0</v>
          </cell>
        </row>
        <row r="41">
          <cell r="D41">
            <v>20.02</v>
          </cell>
          <cell r="Q41">
            <v>0</v>
          </cell>
        </row>
        <row r="42">
          <cell r="D42">
            <v>1254</v>
          </cell>
          <cell r="Q42">
            <v>0</v>
          </cell>
        </row>
        <row r="43">
          <cell r="D43">
            <v>338.8</v>
          </cell>
          <cell r="Q43">
            <v>0</v>
          </cell>
        </row>
        <row r="44">
          <cell r="D44">
            <v>143.83000000000001</v>
          </cell>
          <cell r="Q44">
            <v>0</v>
          </cell>
        </row>
        <row r="45">
          <cell r="D45">
            <v>1108.17</v>
          </cell>
          <cell r="Q45">
            <v>0</v>
          </cell>
        </row>
        <row r="46">
          <cell r="D46">
            <v>1464.06</v>
          </cell>
          <cell r="Q46">
            <v>0</v>
          </cell>
        </row>
        <row r="47">
          <cell r="D47">
            <v>7199.5</v>
          </cell>
          <cell r="Q47">
            <v>0</v>
          </cell>
        </row>
        <row r="48">
          <cell r="D48">
            <v>183.08</v>
          </cell>
          <cell r="Q48">
            <v>0</v>
          </cell>
        </row>
        <row r="49">
          <cell r="D49">
            <v>7213.95</v>
          </cell>
          <cell r="Q49">
            <v>0</v>
          </cell>
        </row>
        <row r="50">
          <cell r="D50">
            <v>137.34</v>
          </cell>
          <cell r="Q50">
            <v>0</v>
          </cell>
        </row>
        <row r="51">
          <cell r="D51">
            <v>1.37</v>
          </cell>
          <cell r="Q51">
            <v>0</v>
          </cell>
        </row>
        <row r="52">
          <cell r="D52">
            <v>44.72</v>
          </cell>
          <cell r="Q52">
            <v>0</v>
          </cell>
        </row>
        <row r="53">
          <cell r="D53">
            <v>542.08000000000004</v>
          </cell>
          <cell r="Q53">
            <v>0</v>
          </cell>
        </row>
        <row r="54">
          <cell r="D54">
            <v>1084.1600000000001</v>
          </cell>
          <cell r="Q54">
            <v>0</v>
          </cell>
        </row>
        <row r="55">
          <cell r="D55">
            <v>15.74</v>
          </cell>
          <cell r="Q55">
            <v>0</v>
          </cell>
        </row>
        <row r="56">
          <cell r="D56">
            <v>41.95</v>
          </cell>
          <cell r="Q56">
            <v>0</v>
          </cell>
        </row>
        <row r="57">
          <cell r="D57">
            <v>20.68</v>
          </cell>
          <cell r="Q57">
            <v>0</v>
          </cell>
        </row>
        <row r="58">
          <cell r="D58">
            <v>35.549999999999997</v>
          </cell>
          <cell r="Q58">
            <v>0</v>
          </cell>
        </row>
        <row r="59">
          <cell r="D59">
            <v>28.5</v>
          </cell>
          <cell r="Q59">
            <v>0</v>
          </cell>
        </row>
        <row r="60">
          <cell r="D60">
            <v>76.819999999999993</v>
          </cell>
          <cell r="Q60">
            <v>0</v>
          </cell>
        </row>
        <row r="61">
          <cell r="D61">
            <v>14.92</v>
          </cell>
          <cell r="Q61">
            <v>0</v>
          </cell>
        </row>
        <row r="62">
          <cell r="D62">
            <v>12.97</v>
          </cell>
          <cell r="Q62">
            <v>0</v>
          </cell>
        </row>
        <row r="63">
          <cell r="D63">
            <v>11.68</v>
          </cell>
          <cell r="Q63">
            <v>0</v>
          </cell>
        </row>
        <row r="64">
          <cell r="D64">
            <v>541.55999999999995</v>
          </cell>
          <cell r="Q64">
            <v>0</v>
          </cell>
        </row>
        <row r="65">
          <cell r="D65">
            <v>567.41</v>
          </cell>
          <cell r="Q65">
            <v>0</v>
          </cell>
        </row>
        <row r="66">
          <cell r="D66">
            <v>544.5</v>
          </cell>
          <cell r="Q66">
            <v>0</v>
          </cell>
        </row>
        <row r="67">
          <cell r="D67">
            <v>43.63</v>
          </cell>
          <cell r="Q67">
            <v>0</v>
          </cell>
        </row>
        <row r="68">
          <cell r="D68">
            <v>40</v>
          </cell>
          <cell r="Q68">
            <v>0</v>
          </cell>
        </row>
        <row r="69">
          <cell r="D69">
            <v>43.63</v>
          </cell>
          <cell r="Q69">
            <v>0</v>
          </cell>
        </row>
        <row r="70">
          <cell r="D70">
            <v>41</v>
          </cell>
          <cell r="Q70">
            <v>0</v>
          </cell>
        </row>
        <row r="71">
          <cell r="D71">
            <v>575.41999999999996</v>
          </cell>
          <cell r="Q71">
            <v>0</v>
          </cell>
        </row>
        <row r="72">
          <cell r="D72">
            <v>28.72</v>
          </cell>
          <cell r="Q72">
            <v>0</v>
          </cell>
        </row>
        <row r="73">
          <cell r="D73">
            <v>1000</v>
          </cell>
          <cell r="Q73">
            <v>0</v>
          </cell>
        </row>
        <row r="74">
          <cell r="D74">
            <v>1678.94</v>
          </cell>
          <cell r="Q74">
            <v>0</v>
          </cell>
        </row>
        <row r="75">
          <cell r="D75">
            <v>884.9</v>
          </cell>
          <cell r="Q75">
            <v>0</v>
          </cell>
        </row>
        <row r="76">
          <cell r="D76">
            <v>471.75</v>
          </cell>
          <cell r="Q76">
            <v>0</v>
          </cell>
        </row>
        <row r="77">
          <cell r="D77">
            <v>109.87</v>
          </cell>
          <cell r="Q77">
            <v>0</v>
          </cell>
        </row>
        <row r="78">
          <cell r="D78">
            <v>652.24</v>
          </cell>
          <cell r="Q78">
            <v>0</v>
          </cell>
        </row>
        <row r="79">
          <cell r="D79">
            <v>532.4</v>
          </cell>
          <cell r="Q79">
            <v>0</v>
          </cell>
        </row>
        <row r="80">
          <cell r="D80">
            <v>3307.35</v>
          </cell>
          <cell r="Q80">
            <v>0</v>
          </cell>
        </row>
        <row r="81">
          <cell r="D81">
            <v>23.62</v>
          </cell>
          <cell r="Q81">
            <v>0</v>
          </cell>
        </row>
        <row r="82">
          <cell r="D82">
            <v>1633.5</v>
          </cell>
          <cell r="Q82">
            <v>0</v>
          </cell>
        </row>
        <row r="83">
          <cell r="D83">
            <v>27.83</v>
          </cell>
          <cell r="Q83">
            <v>0</v>
          </cell>
        </row>
        <row r="84">
          <cell r="D84">
            <v>38.119999999999997</v>
          </cell>
          <cell r="Q84">
            <v>0</v>
          </cell>
        </row>
        <row r="85">
          <cell r="D85">
            <v>62.4</v>
          </cell>
          <cell r="Q85">
            <v>0</v>
          </cell>
        </row>
        <row r="86">
          <cell r="D86">
            <v>25.41</v>
          </cell>
          <cell r="Q86">
            <v>0</v>
          </cell>
        </row>
        <row r="87">
          <cell r="D87">
            <v>1000</v>
          </cell>
          <cell r="Q87">
            <v>0</v>
          </cell>
        </row>
        <row r="88">
          <cell r="D88">
            <v>10.85</v>
          </cell>
          <cell r="Q88">
            <v>0</v>
          </cell>
        </row>
        <row r="89">
          <cell r="D89">
            <v>11.38</v>
          </cell>
          <cell r="Q89">
            <v>0</v>
          </cell>
        </row>
        <row r="90">
          <cell r="D90">
            <v>48.21</v>
          </cell>
          <cell r="Q90">
            <v>0</v>
          </cell>
        </row>
        <row r="91">
          <cell r="D91">
            <v>18.329999999999998</v>
          </cell>
          <cell r="Q91">
            <v>0</v>
          </cell>
        </row>
        <row r="92">
          <cell r="D92">
            <v>28.09</v>
          </cell>
          <cell r="Q92">
            <v>0</v>
          </cell>
        </row>
        <row r="93">
          <cell r="D93">
            <v>57.56</v>
          </cell>
          <cell r="Q93">
            <v>0</v>
          </cell>
        </row>
        <row r="94">
          <cell r="D94">
            <v>13.2</v>
          </cell>
          <cell r="Q94">
            <v>0</v>
          </cell>
        </row>
        <row r="95">
          <cell r="D95">
            <v>27.6</v>
          </cell>
          <cell r="Q95">
            <v>0</v>
          </cell>
        </row>
        <row r="96">
          <cell r="D96">
            <v>5.1100000000000003</v>
          </cell>
          <cell r="Q96">
            <v>0</v>
          </cell>
        </row>
        <row r="97">
          <cell r="D97">
            <v>10.88</v>
          </cell>
          <cell r="Q97">
            <v>0</v>
          </cell>
        </row>
        <row r="98">
          <cell r="D98">
            <v>8.35</v>
          </cell>
          <cell r="Q98">
            <v>0</v>
          </cell>
        </row>
        <row r="99">
          <cell r="D99">
            <v>1242.08</v>
          </cell>
          <cell r="Q99">
            <v>0</v>
          </cell>
        </row>
        <row r="100">
          <cell r="D100">
            <v>412.68</v>
          </cell>
          <cell r="Q100">
            <v>0</v>
          </cell>
        </row>
        <row r="101">
          <cell r="D101">
            <v>364.52</v>
          </cell>
          <cell r="Q101">
            <v>0</v>
          </cell>
        </row>
        <row r="102">
          <cell r="D102">
            <v>506.47</v>
          </cell>
          <cell r="Q102">
            <v>0</v>
          </cell>
        </row>
        <row r="103">
          <cell r="D103">
            <v>362.53</v>
          </cell>
          <cell r="Q103">
            <v>0</v>
          </cell>
        </row>
        <row r="104">
          <cell r="D104">
            <v>254.1</v>
          </cell>
          <cell r="Q104">
            <v>0</v>
          </cell>
        </row>
        <row r="105">
          <cell r="D105">
            <v>254.1</v>
          </cell>
          <cell r="Q105">
            <v>0</v>
          </cell>
        </row>
        <row r="106">
          <cell r="D106">
            <v>38.119999999999997</v>
          </cell>
          <cell r="Q106">
            <v>0</v>
          </cell>
        </row>
        <row r="107">
          <cell r="D107">
            <v>35.200000000000003</v>
          </cell>
          <cell r="Q107">
            <v>0</v>
          </cell>
        </row>
        <row r="108">
          <cell r="D108">
            <v>84.85</v>
          </cell>
          <cell r="Q108">
            <v>0</v>
          </cell>
        </row>
        <row r="109">
          <cell r="D109">
            <v>374</v>
          </cell>
          <cell r="Q109">
            <v>0</v>
          </cell>
        </row>
        <row r="110">
          <cell r="D110">
            <v>121.22</v>
          </cell>
          <cell r="Q110">
            <v>0</v>
          </cell>
        </row>
        <row r="111">
          <cell r="D111">
            <v>121.22</v>
          </cell>
          <cell r="Q111">
            <v>0</v>
          </cell>
        </row>
        <row r="112">
          <cell r="D112">
            <v>1089</v>
          </cell>
          <cell r="Q112">
            <v>0</v>
          </cell>
        </row>
        <row r="113">
          <cell r="D113">
            <v>962.99</v>
          </cell>
          <cell r="Q113">
            <v>0</v>
          </cell>
        </row>
        <row r="114">
          <cell r="D114">
            <v>0.25</v>
          </cell>
          <cell r="Q114">
            <v>0</v>
          </cell>
        </row>
        <row r="115">
          <cell r="D115">
            <v>137.34</v>
          </cell>
          <cell r="Q115">
            <v>0</v>
          </cell>
        </row>
        <row r="116">
          <cell r="D116">
            <v>77.36</v>
          </cell>
          <cell r="Q116">
            <v>0</v>
          </cell>
        </row>
        <row r="117">
          <cell r="D117">
            <v>168.01</v>
          </cell>
          <cell r="Q117">
            <v>0</v>
          </cell>
        </row>
        <row r="118">
          <cell r="D118">
            <v>13.03</v>
          </cell>
          <cell r="Q118">
            <v>0</v>
          </cell>
        </row>
        <row r="119">
          <cell r="D119">
            <v>10.26</v>
          </cell>
          <cell r="Q119">
            <v>0</v>
          </cell>
        </row>
        <row r="120">
          <cell r="D120">
            <v>16.940000000000001</v>
          </cell>
          <cell r="Q120">
            <v>0</v>
          </cell>
        </row>
        <row r="121">
          <cell r="D121">
            <v>94.5</v>
          </cell>
          <cell r="Q121">
            <v>0</v>
          </cell>
        </row>
        <row r="122">
          <cell r="D122">
            <v>45.2</v>
          </cell>
          <cell r="Q122">
            <v>0</v>
          </cell>
        </row>
        <row r="123">
          <cell r="D123">
            <v>40</v>
          </cell>
          <cell r="Q123">
            <v>0</v>
          </cell>
        </row>
        <row r="124">
          <cell r="D124">
            <v>254.1</v>
          </cell>
          <cell r="Q124">
            <v>0</v>
          </cell>
        </row>
        <row r="125">
          <cell r="D125">
            <v>108.9</v>
          </cell>
          <cell r="Q125">
            <v>0</v>
          </cell>
        </row>
        <row r="126">
          <cell r="D126">
            <v>145.19999999999999</v>
          </cell>
          <cell r="Q126">
            <v>0</v>
          </cell>
        </row>
        <row r="127">
          <cell r="D127">
            <v>200</v>
          </cell>
          <cell r="Q127">
            <v>0</v>
          </cell>
        </row>
        <row r="128">
          <cell r="D128">
            <v>1464.06</v>
          </cell>
          <cell r="Q128">
            <v>0</v>
          </cell>
        </row>
        <row r="129">
          <cell r="D129">
            <v>1108.17</v>
          </cell>
          <cell r="Q129">
            <v>0</v>
          </cell>
        </row>
        <row r="130">
          <cell r="D130">
            <v>1000</v>
          </cell>
          <cell r="Q130">
            <v>0</v>
          </cell>
        </row>
        <row r="131">
          <cell r="D131">
            <v>50</v>
          </cell>
          <cell r="Q131">
            <v>0</v>
          </cell>
        </row>
        <row r="132">
          <cell r="D132">
            <v>110.75</v>
          </cell>
          <cell r="Q132">
            <v>0</v>
          </cell>
        </row>
        <row r="133">
          <cell r="D133">
            <v>701.8</v>
          </cell>
          <cell r="Q133">
            <v>0</v>
          </cell>
        </row>
        <row r="134">
          <cell r="D134">
            <v>3267</v>
          </cell>
          <cell r="Q134">
            <v>0</v>
          </cell>
        </row>
        <row r="135">
          <cell r="D135">
            <v>361.79</v>
          </cell>
          <cell r="Q135">
            <v>0</v>
          </cell>
        </row>
        <row r="136">
          <cell r="D136">
            <v>225.58</v>
          </cell>
          <cell r="Q136">
            <v>0</v>
          </cell>
        </row>
        <row r="137">
          <cell r="D137">
            <v>900</v>
          </cell>
          <cell r="Q137">
            <v>0</v>
          </cell>
        </row>
        <row r="138">
          <cell r="D138">
            <v>1246.3</v>
          </cell>
          <cell r="Q138">
            <v>0</v>
          </cell>
        </row>
        <row r="139">
          <cell r="D139">
            <v>1000</v>
          </cell>
          <cell r="Q139">
            <v>0</v>
          </cell>
        </row>
        <row r="140">
          <cell r="D140">
            <v>6.16</v>
          </cell>
          <cell r="Q140">
            <v>0</v>
          </cell>
        </row>
        <row r="141">
          <cell r="D141">
            <v>2.2599999999999998</v>
          </cell>
          <cell r="Q141">
            <v>0</v>
          </cell>
        </row>
        <row r="142">
          <cell r="D142">
            <v>880.15</v>
          </cell>
          <cell r="Q142">
            <v>0</v>
          </cell>
        </row>
        <row r="143">
          <cell r="D143">
            <v>2397.98</v>
          </cell>
          <cell r="Q143">
            <v>0</v>
          </cell>
        </row>
        <row r="144">
          <cell r="D144">
            <v>2341.6999999999998</v>
          </cell>
          <cell r="Q144">
            <v>0</v>
          </cell>
        </row>
        <row r="145">
          <cell r="D145">
            <v>4573.8</v>
          </cell>
          <cell r="Q145">
            <v>0</v>
          </cell>
        </row>
        <row r="146">
          <cell r="D146">
            <v>1016.4</v>
          </cell>
          <cell r="Q146">
            <v>0</v>
          </cell>
        </row>
        <row r="147">
          <cell r="D147">
            <v>245.12</v>
          </cell>
          <cell r="Q147">
            <v>0</v>
          </cell>
        </row>
        <row r="148">
          <cell r="D148">
            <v>12.38</v>
          </cell>
          <cell r="Q148">
            <v>0</v>
          </cell>
        </row>
        <row r="149">
          <cell r="D149">
            <v>320.64999999999998</v>
          </cell>
          <cell r="Q149">
            <v>0</v>
          </cell>
        </row>
        <row r="150">
          <cell r="D150">
            <v>10575.96</v>
          </cell>
          <cell r="Q150">
            <v>0</v>
          </cell>
        </row>
        <row r="151">
          <cell r="D151">
            <v>4103.84</v>
          </cell>
          <cell r="Q151">
            <v>0</v>
          </cell>
        </row>
        <row r="152">
          <cell r="D152">
            <v>9568.67</v>
          </cell>
          <cell r="Q152">
            <v>0</v>
          </cell>
        </row>
        <row r="153">
          <cell r="D153">
            <v>5133.7299999999996</v>
          </cell>
          <cell r="Q153">
            <v>0</v>
          </cell>
        </row>
        <row r="154">
          <cell r="D154">
            <v>10784.98</v>
          </cell>
          <cell r="Q154">
            <v>0</v>
          </cell>
        </row>
        <row r="155">
          <cell r="D155">
            <v>2286.11</v>
          </cell>
          <cell r="Q155">
            <v>0</v>
          </cell>
        </row>
        <row r="156">
          <cell r="D156">
            <v>514.76</v>
          </cell>
          <cell r="Q156">
            <v>0</v>
          </cell>
        </row>
        <row r="157">
          <cell r="D157">
            <v>950999.5</v>
          </cell>
          <cell r="Q157">
            <v>0</v>
          </cell>
        </row>
        <row r="158">
          <cell r="D158">
            <v>10562.09</v>
          </cell>
          <cell r="Q158">
            <v>0</v>
          </cell>
        </row>
        <row r="159">
          <cell r="D159">
            <v>1452</v>
          </cell>
          <cell r="Q159">
            <v>0</v>
          </cell>
        </row>
        <row r="160">
          <cell r="D160">
            <v>356.03</v>
          </cell>
          <cell r="Q160">
            <v>0</v>
          </cell>
        </row>
        <row r="161">
          <cell r="D161">
            <v>5793.48</v>
          </cell>
          <cell r="Q161">
            <v>0</v>
          </cell>
        </row>
        <row r="162">
          <cell r="D162">
            <v>1487.26</v>
          </cell>
          <cell r="Q162">
            <v>0</v>
          </cell>
        </row>
        <row r="163">
          <cell r="D163">
            <v>440.44</v>
          </cell>
          <cell r="Q163">
            <v>0</v>
          </cell>
        </row>
        <row r="164">
          <cell r="D164">
            <v>435.7</v>
          </cell>
          <cell r="Q164">
            <v>0</v>
          </cell>
        </row>
        <row r="165">
          <cell r="D165">
            <v>91.78</v>
          </cell>
          <cell r="Q165">
            <v>0</v>
          </cell>
        </row>
        <row r="166">
          <cell r="D166">
            <v>2541</v>
          </cell>
          <cell r="Q166">
            <v>0</v>
          </cell>
        </row>
        <row r="167">
          <cell r="D167">
            <v>83.97</v>
          </cell>
          <cell r="Q167">
            <v>0</v>
          </cell>
        </row>
        <row r="168">
          <cell r="D168">
            <v>719.8</v>
          </cell>
          <cell r="Q168">
            <v>0</v>
          </cell>
        </row>
        <row r="169">
          <cell r="D169">
            <v>108.9</v>
          </cell>
          <cell r="Q169">
            <v>0</v>
          </cell>
        </row>
        <row r="170">
          <cell r="D170">
            <v>3605.8</v>
          </cell>
          <cell r="Q170">
            <v>0</v>
          </cell>
        </row>
        <row r="171">
          <cell r="D171">
            <v>345.52</v>
          </cell>
          <cell r="Q171">
            <v>0</v>
          </cell>
        </row>
        <row r="172">
          <cell r="D172">
            <v>184.6</v>
          </cell>
          <cell r="Q172">
            <v>0</v>
          </cell>
        </row>
        <row r="173">
          <cell r="D173">
            <v>770.82</v>
          </cell>
          <cell r="Q173">
            <v>0</v>
          </cell>
        </row>
        <row r="174">
          <cell r="D174">
            <v>452.64</v>
          </cell>
          <cell r="Q174">
            <v>0</v>
          </cell>
        </row>
        <row r="175">
          <cell r="D175">
            <v>57.34</v>
          </cell>
          <cell r="Q175">
            <v>0</v>
          </cell>
        </row>
        <row r="176">
          <cell r="D176">
            <v>356.39</v>
          </cell>
          <cell r="Q176">
            <v>0</v>
          </cell>
        </row>
        <row r="177">
          <cell r="D177">
            <v>34.909999999999997</v>
          </cell>
          <cell r="Q177">
            <v>0</v>
          </cell>
        </row>
        <row r="178">
          <cell r="D178">
            <v>184.6</v>
          </cell>
          <cell r="Q178">
            <v>0</v>
          </cell>
        </row>
        <row r="179">
          <cell r="D179">
            <v>217.8</v>
          </cell>
          <cell r="Q179">
            <v>0</v>
          </cell>
        </row>
        <row r="180">
          <cell r="D180">
            <v>349.69</v>
          </cell>
          <cell r="Q180">
            <v>0</v>
          </cell>
        </row>
        <row r="181">
          <cell r="D181">
            <v>761.53</v>
          </cell>
          <cell r="Q181">
            <v>0</v>
          </cell>
        </row>
        <row r="182">
          <cell r="D182">
            <v>60.5</v>
          </cell>
          <cell r="Q182">
            <v>0</v>
          </cell>
        </row>
        <row r="183">
          <cell r="D183">
            <v>8.23</v>
          </cell>
          <cell r="Q183">
            <v>0</v>
          </cell>
        </row>
        <row r="184">
          <cell r="D184">
            <v>161.91</v>
          </cell>
          <cell r="Q184">
            <v>0</v>
          </cell>
        </row>
        <row r="185">
          <cell r="D185">
            <v>49.39</v>
          </cell>
          <cell r="Q185">
            <v>0</v>
          </cell>
        </row>
        <row r="186">
          <cell r="D186">
            <v>435.93</v>
          </cell>
          <cell r="Q186">
            <v>0</v>
          </cell>
        </row>
        <row r="187">
          <cell r="D187">
            <v>72.599999999999994</v>
          </cell>
          <cell r="Q187">
            <v>0</v>
          </cell>
        </row>
        <row r="188">
          <cell r="D188">
            <v>290.39999999999998</v>
          </cell>
          <cell r="Q188">
            <v>0</v>
          </cell>
        </row>
        <row r="189">
          <cell r="D189">
            <v>1981.12</v>
          </cell>
          <cell r="Q189">
            <v>0</v>
          </cell>
        </row>
        <row r="190">
          <cell r="D190">
            <v>290.39999999999998</v>
          </cell>
          <cell r="Q190">
            <v>0</v>
          </cell>
        </row>
        <row r="191">
          <cell r="D191">
            <v>151.25</v>
          </cell>
          <cell r="Q191">
            <v>0</v>
          </cell>
        </row>
        <row r="192">
          <cell r="D192">
            <v>478.86</v>
          </cell>
          <cell r="Q192">
            <v>0</v>
          </cell>
        </row>
        <row r="193">
          <cell r="D193">
            <v>121.21</v>
          </cell>
          <cell r="Q193">
            <v>0</v>
          </cell>
        </row>
        <row r="194">
          <cell r="D194">
            <v>508.94</v>
          </cell>
          <cell r="Q194">
            <v>0</v>
          </cell>
        </row>
        <row r="195">
          <cell r="D195">
            <v>637.08000000000004</v>
          </cell>
          <cell r="Q195">
            <v>0</v>
          </cell>
        </row>
        <row r="196">
          <cell r="D196">
            <v>204.39</v>
          </cell>
          <cell r="Q196">
            <v>0</v>
          </cell>
        </row>
        <row r="197">
          <cell r="D197">
            <v>124.51</v>
          </cell>
          <cell r="Q197">
            <v>0</v>
          </cell>
        </row>
        <row r="198">
          <cell r="D198">
            <v>77.290000000000006</v>
          </cell>
          <cell r="Q198">
            <v>0</v>
          </cell>
        </row>
        <row r="199">
          <cell r="D199">
            <v>5579.28</v>
          </cell>
          <cell r="Q199">
            <v>0</v>
          </cell>
        </row>
        <row r="200">
          <cell r="D200">
            <v>11007.36</v>
          </cell>
          <cell r="Q200">
            <v>0</v>
          </cell>
        </row>
        <row r="201">
          <cell r="D201">
            <v>8771.49</v>
          </cell>
          <cell r="Q201">
            <v>0</v>
          </cell>
        </row>
        <row r="202">
          <cell r="D202">
            <v>16.940000000000001</v>
          </cell>
          <cell r="Q202">
            <v>0</v>
          </cell>
        </row>
        <row r="203">
          <cell r="D203">
            <v>168.12</v>
          </cell>
          <cell r="Q203">
            <v>0</v>
          </cell>
        </row>
        <row r="204">
          <cell r="D204">
            <v>205.31</v>
          </cell>
          <cell r="Q204">
            <v>0</v>
          </cell>
        </row>
        <row r="205">
          <cell r="D205">
            <v>12.38</v>
          </cell>
          <cell r="Q205">
            <v>0</v>
          </cell>
        </row>
        <row r="206">
          <cell r="D206">
            <v>174.6</v>
          </cell>
          <cell r="Q206">
            <v>0</v>
          </cell>
        </row>
        <row r="207">
          <cell r="D207">
            <v>3.8</v>
          </cell>
          <cell r="Q207">
            <v>0</v>
          </cell>
        </row>
        <row r="208">
          <cell r="D208">
            <v>154.63999999999999</v>
          </cell>
          <cell r="Q208">
            <v>0</v>
          </cell>
        </row>
        <row r="209">
          <cell r="D209">
            <v>21.14</v>
          </cell>
          <cell r="Q209">
            <v>0</v>
          </cell>
        </row>
        <row r="210">
          <cell r="D210">
            <v>11.5</v>
          </cell>
          <cell r="Q210">
            <v>0</v>
          </cell>
        </row>
        <row r="211">
          <cell r="D211">
            <v>4.74</v>
          </cell>
          <cell r="Q211">
            <v>0</v>
          </cell>
        </row>
        <row r="212">
          <cell r="D212">
            <v>17.829999999999998</v>
          </cell>
          <cell r="Q212">
            <v>0</v>
          </cell>
        </row>
        <row r="213">
          <cell r="D213">
            <v>113.89</v>
          </cell>
          <cell r="Q213">
            <v>0</v>
          </cell>
        </row>
        <row r="214">
          <cell r="D214">
            <v>171.88</v>
          </cell>
          <cell r="Q214">
            <v>0</v>
          </cell>
        </row>
        <row r="215">
          <cell r="D215">
            <v>1156475.8999999997</v>
          </cell>
        </row>
        <row r="218">
          <cell r="D218">
            <v>19854.129999999994</v>
          </cell>
          <cell r="F218">
            <v>18</v>
          </cell>
        </row>
        <row r="219">
          <cell r="D219">
            <v>6872.0499999999984</v>
          </cell>
          <cell r="F219">
            <v>20</v>
          </cell>
        </row>
        <row r="220">
          <cell r="D220">
            <v>28587.179999999997</v>
          </cell>
          <cell r="F220">
            <v>23</v>
          </cell>
        </row>
        <row r="221">
          <cell r="D221">
            <v>1011415.36</v>
          </cell>
          <cell r="F221">
            <v>127</v>
          </cell>
        </row>
        <row r="222">
          <cell r="D222">
            <v>89747.179999999964</v>
          </cell>
          <cell r="F222">
            <v>21</v>
          </cell>
        </row>
        <row r="223">
          <cell r="D223">
            <v>1156475.8999999999</v>
          </cell>
        </row>
      </sheetData>
      <sheetData sheetId="2">
        <row r="17">
          <cell r="D17">
            <v>930.5</v>
          </cell>
          <cell r="F17">
            <v>2</v>
          </cell>
        </row>
        <row r="18">
          <cell r="D18">
            <v>757</v>
          </cell>
          <cell r="F18">
            <v>1</v>
          </cell>
        </row>
        <row r="19">
          <cell r="D19">
            <v>177.42</v>
          </cell>
          <cell r="F19">
            <v>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78" zoomScaleNormal="100" workbookViewId="0">
      <selection activeCell="H95" sqref="H95"/>
    </sheetView>
  </sheetViews>
  <sheetFormatPr defaultRowHeight="12.75" customHeight="1" x14ac:dyDescent="0.2"/>
  <cols>
    <col min="1" max="1" width="3.140625" style="2" customWidth="1"/>
    <col min="2" max="2" width="4.42578125" style="2" bestFit="1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75"/>
      <c r="B1" s="175"/>
    </row>
    <row r="2" spans="1:9" s="39" customFormat="1" ht="15.75" customHeight="1" x14ac:dyDescent="0.25">
      <c r="A2" s="176" t="s">
        <v>11</v>
      </c>
      <c r="B2" s="177"/>
      <c r="C2" s="177"/>
      <c r="D2" s="177"/>
      <c r="E2" s="177"/>
      <c r="F2" s="177"/>
      <c r="G2" s="177"/>
      <c r="H2" s="177"/>
      <c r="I2" s="178"/>
    </row>
    <row r="3" spans="1:9" s="39" customFormat="1" ht="15.75" customHeight="1" x14ac:dyDescent="0.25">
      <c r="A3" s="40"/>
      <c r="B3" s="41"/>
      <c r="C3" s="42" t="s">
        <v>12</v>
      </c>
      <c r="D3" s="179" t="s">
        <v>91</v>
      </c>
      <c r="E3" s="179"/>
      <c r="F3" s="179"/>
      <c r="G3" s="179"/>
      <c r="H3" s="41"/>
      <c r="I3" s="43"/>
    </row>
    <row r="4" spans="1:9" s="39" customFormat="1" ht="15.75" customHeight="1" x14ac:dyDescent="0.25">
      <c r="A4" s="40"/>
      <c r="B4" s="41"/>
      <c r="C4" s="44" t="s">
        <v>13</v>
      </c>
      <c r="D4" s="45">
        <v>2023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14</v>
      </c>
      <c r="D5" s="50">
        <v>2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67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15</v>
      </c>
    </row>
    <row r="13" spans="1:9" ht="12.75" customHeight="1" x14ac:dyDescent="0.2">
      <c r="A13" s="148" t="s">
        <v>17</v>
      </c>
      <c r="B13" s="149"/>
      <c r="C13" s="163"/>
      <c r="D13" s="165" t="s">
        <v>18</v>
      </c>
      <c r="E13" s="166"/>
      <c r="F13" s="167" t="s">
        <v>23</v>
      </c>
      <c r="G13" s="168"/>
      <c r="H13" s="168"/>
      <c r="I13" s="169"/>
    </row>
    <row r="14" spans="1:9" ht="12.75" customHeight="1" x14ac:dyDescent="0.2">
      <c r="A14" s="151"/>
      <c r="B14" s="152"/>
      <c r="C14" s="164"/>
      <c r="D14" s="170" t="s">
        <v>19</v>
      </c>
      <c r="E14" s="171"/>
      <c r="F14" s="172" t="s">
        <v>21</v>
      </c>
      <c r="G14" s="173"/>
      <c r="H14" s="173" t="s">
        <v>22</v>
      </c>
      <c r="I14" s="174"/>
    </row>
    <row r="15" spans="1:9" ht="22.5" x14ac:dyDescent="0.2">
      <c r="A15" s="151"/>
      <c r="B15" s="152"/>
      <c r="C15" s="164"/>
      <c r="D15" s="57" t="s">
        <v>20</v>
      </c>
      <c r="E15" s="23" t="s">
        <v>60</v>
      </c>
      <c r="F15" s="54" t="s">
        <v>24</v>
      </c>
      <c r="G15" s="22" t="s">
        <v>25</v>
      </c>
      <c r="H15" s="22" t="s">
        <v>24</v>
      </c>
      <c r="I15" s="67" t="s">
        <v>25</v>
      </c>
    </row>
    <row r="16" spans="1:9" ht="12.75" customHeight="1" x14ac:dyDescent="0.2">
      <c r="A16" s="154" t="s">
        <v>35</v>
      </c>
      <c r="B16" s="155"/>
      <c r="C16" s="155"/>
      <c r="D16" s="58" t="e">
        <f>IF(G16+I16=0,0,(D17*(#REF!+I17)+D18*(#REF!+I18)+D19*(#REF!+I19)+D20*(#REF!+I20)+D21*(#REF!+I21))/(G16+I16))</f>
        <v>#REF!</v>
      </c>
      <c r="E16" s="59">
        <f>IF(I16=0,0,(E17*I17+E18*I18+E19*I19+E20*I20+E21*I21)/I16)</f>
        <v>0</v>
      </c>
      <c r="F16" s="55">
        <f>SUM(F17:F21)</f>
        <v>188</v>
      </c>
      <c r="G16" s="24">
        <f>SUM(G17:G21)</f>
        <v>1066728.72</v>
      </c>
      <c r="H16" s="25">
        <f>SUM(H17:H21)</f>
        <v>0</v>
      </c>
      <c r="I16" s="88">
        <f>SUM(I17:I21)</f>
        <v>0</v>
      </c>
    </row>
    <row r="17" spans="1:9" ht="12.75" customHeight="1" x14ac:dyDescent="0.2">
      <c r="A17" s="89"/>
      <c r="B17" s="90" t="s">
        <v>0</v>
      </c>
      <c r="C17" s="2" t="s">
        <v>26</v>
      </c>
      <c r="D17" s="60"/>
      <c r="E17" s="35">
        <f>IF(H17=0,0,SUMIF(detalle1!V:V,220,detalle1!T:T)/SUMIF(detalle1!V:V,220,detalle1!D:D))</f>
        <v>0</v>
      </c>
      <c r="F17" s="36">
        <f>+[2]xehet1!F218</f>
        <v>18</v>
      </c>
      <c r="G17" s="116">
        <f>+[2]xehet1!D218</f>
        <v>19854.129999999994</v>
      </c>
      <c r="H17" s="27">
        <f>COUNTIF(detalle1!V:V,220)</f>
        <v>0</v>
      </c>
      <c r="I17" s="78">
        <f>SUMIF(detalle1!V:V,220,detalle1!D:D)</f>
        <v>0</v>
      </c>
    </row>
    <row r="18" spans="1:9" ht="12.75" customHeight="1" x14ac:dyDescent="0.2">
      <c r="A18" s="89"/>
      <c r="B18" s="90" t="s">
        <v>1</v>
      </c>
      <c r="C18" s="2" t="s">
        <v>27</v>
      </c>
      <c r="D18" s="60"/>
      <c r="E18" s="35">
        <f>IF(H18=0,0,SUMIF(detalle1!V:V,221,detalle1!T:T)/SUMIF(detalle1!V:V,221,detalle1!D:D))</f>
        <v>0</v>
      </c>
      <c r="F18" s="36">
        <f>+[2]xehet1!F219</f>
        <v>20</v>
      </c>
      <c r="G18" s="117">
        <f>+[2]xehet1!D219</f>
        <v>6872.0499999999984</v>
      </c>
      <c r="H18" s="27">
        <f>COUNTIF(detalle1!V:V,221)</f>
        <v>0</v>
      </c>
      <c r="I18" s="78">
        <f>SUMIF(detalle1!V:V,221,detalle1!D:D)</f>
        <v>0</v>
      </c>
    </row>
    <row r="19" spans="1:9" ht="12.75" customHeight="1" x14ac:dyDescent="0.2">
      <c r="A19" s="89"/>
      <c r="B19" s="90" t="s">
        <v>2</v>
      </c>
      <c r="C19" s="2" t="s">
        <v>28</v>
      </c>
      <c r="D19" s="60"/>
      <c r="E19" s="35">
        <f>IF(H19=0,0,SUMIF(detalle1!V:V,222,detalle1!T:T)/SUMIF(detalle1!V:V,222,detalle1!D:D))</f>
        <v>0</v>
      </c>
      <c r="F19" s="36">
        <f>+[2]xehet1!F220</f>
        <v>23</v>
      </c>
      <c r="G19" s="26">
        <f>+[2]xehet1!D220</f>
        <v>28587.179999999997</v>
      </c>
      <c r="H19" s="27">
        <f>COUNTIF(detalle1!V:V,222)</f>
        <v>0</v>
      </c>
      <c r="I19" s="78">
        <f>SUMIF(detalle1!V:V,222,detalle1!D:D)</f>
        <v>0</v>
      </c>
    </row>
    <row r="20" spans="1:9" ht="12.75" customHeight="1" x14ac:dyDescent="0.2">
      <c r="A20" s="89"/>
      <c r="B20" s="90" t="s">
        <v>3</v>
      </c>
      <c r="C20" s="2" t="s">
        <v>29</v>
      </c>
      <c r="D20" s="60"/>
      <c r="E20" s="35">
        <f>IF(H20=0,0,SUMIF(detalle1!V:V,223,detalle1!T:T)/SUMIF(detalle1!V:V,223,detalle1!D:D))</f>
        <v>0</v>
      </c>
      <c r="F20" s="36"/>
      <c r="G20" s="26"/>
      <c r="H20" s="27">
        <f>COUNTIF(detalle1!V:V,223)</f>
        <v>0</v>
      </c>
      <c r="I20" s="78">
        <f>SUMIF(detalle1!V:V,223,detalle1!D:D)</f>
        <v>0</v>
      </c>
    </row>
    <row r="21" spans="1:9" ht="12.75" customHeight="1" x14ac:dyDescent="0.2">
      <c r="A21" s="89"/>
      <c r="B21" s="90" t="s">
        <v>4</v>
      </c>
      <c r="C21" s="2" t="s">
        <v>30</v>
      </c>
      <c r="D21" s="60"/>
      <c r="E21" s="35">
        <f>IF(H21=0,0,SUMIF(detalle1!V:V,229,detalle1!T:T)/SUMIF(detalle1!V:V,229,detalle1!D:D))</f>
        <v>0</v>
      </c>
      <c r="F21" s="36">
        <f>+[2]xehet1!F221</f>
        <v>127</v>
      </c>
      <c r="G21" s="26">
        <f>+[2]xehet1!D221</f>
        <v>1011415.36</v>
      </c>
      <c r="H21" s="27">
        <f>COUNTIF(detalle1!V:V,229)</f>
        <v>0</v>
      </c>
      <c r="I21" s="78">
        <f>SUMIF(detalle1!V:V,229,detalle1!D:D)</f>
        <v>0</v>
      </c>
    </row>
    <row r="22" spans="1:9" ht="12.75" customHeight="1" x14ac:dyDescent="0.2">
      <c r="A22" s="154" t="s">
        <v>31</v>
      </c>
      <c r="B22" s="155"/>
      <c r="C22" s="155"/>
      <c r="D22" s="58">
        <f t="shared" ref="D22:I22" si="0">D23</f>
        <v>0</v>
      </c>
      <c r="E22" s="59">
        <f t="shared" si="0"/>
        <v>0</v>
      </c>
      <c r="F22" s="56">
        <f>SUM(F23)</f>
        <v>21</v>
      </c>
      <c r="G22" s="29">
        <f>SUM(G23)</f>
        <v>89747.179999999964</v>
      </c>
      <c r="H22" s="28">
        <f t="shared" si="0"/>
        <v>0</v>
      </c>
      <c r="I22" s="88">
        <f t="shared" si="0"/>
        <v>0</v>
      </c>
    </row>
    <row r="23" spans="1:9" ht="12.75" customHeight="1" x14ac:dyDescent="0.2">
      <c r="A23" s="89"/>
      <c r="B23" s="91" t="s">
        <v>5</v>
      </c>
      <c r="C23" s="2" t="s">
        <v>31</v>
      </c>
      <c r="D23" s="60"/>
      <c r="E23" s="35">
        <f>IF(H23=0,0,SUMIF(detalle1!V:V,269,detalle1!T:T)/SUMIF(detalle1!V:V,269,detalle1!D:D))</f>
        <v>0</v>
      </c>
      <c r="F23" s="36">
        <f>+[2]xehet1!F222</f>
        <v>21</v>
      </c>
      <c r="G23" s="26">
        <f>+[2]xehet1!D222</f>
        <v>89747.179999999964</v>
      </c>
      <c r="H23" s="27">
        <f>COUNTIF(detalle1!V:V,269)</f>
        <v>0</v>
      </c>
      <c r="I23" s="78">
        <f>SUMIF(detalle1!V:V,269,detalle1!D:D)</f>
        <v>0</v>
      </c>
    </row>
    <row r="24" spans="1:9" ht="12.75" customHeight="1" x14ac:dyDescent="0.2">
      <c r="A24" s="154" t="s">
        <v>34</v>
      </c>
      <c r="B24" s="155"/>
      <c r="C24" s="155"/>
      <c r="D24" s="58">
        <f t="shared" ref="D24:I24" si="1">D25</f>
        <v>0</v>
      </c>
      <c r="E24" s="59">
        <f t="shared" si="1"/>
        <v>0</v>
      </c>
      <c r="F24" s="56">
        <v>0</v>
      </c>
      <c r="G24" s="29">
        <v>0</v>
      </c>
      <c r="H24" s="28">
        <f t="shared" si="1"/>
        <v>0</v>
      </c>
      <c r="I24" s="88">
        <f t="shared" si="1"/>
        <v>0</v>
      </c>
    </row>
    <row r="25" spans="1:9" ht="12.75" customHeight="1" x14ac:dyDescent="0.2">
      <c r="A25" s="89"/>
      <c r="B25" s="143" t="s">
        <v>32</v>
      </c>
      <c r="C25" s="143"/>
      <c r="D25" s="92"/>
      <c r="E25" s="93"/>
      <c r="F25" s="94"/>
      <c r="G25" s="95"/>
      <c r="H25" s="96"/>
      <c r="I25" s="97"/>
    </row>
    <row r="26" spans="1:9" ht="12.75" customHeight="1" thickBot="1" x14ac:dyDescent="0.25">
      <c r="A26" s="156" t="s">
        <v>20</v>
      </c>
      <c r="B26" s="157"/>
      <c r="C26" s="157"/>
      <c r="D26" s="68" t="e">
        <f>IF(G26+I26=0,0,(D16*(G16+I16)+D22*(G22+I22)+D24*(G24+I24))/(G26+I26))</f>
        <v>#REF!</v>
      </c>
      <c r="E26" s="69">
        <f>IF(I26=0,0,(E16*I16+E22*I22+E24*I24)/I26)</f>
        <v>0</v>
      </c>
      <c r="F26" s="70">
        <f>+F22+F16</f>
        <v>209</v>
      </c>
      <c r="G26" s="71">
        <f>+G22+G16</f>
        <v>1156475.8999999999</v>
      </c>
      <c r="H26" s="72">
        <f>H16+H22+H24</f>
        <v>0</v>
      </c>
      <c r="I26" s="75">
        <f>I16+I22+I24</f>
        <v>0</v>
      </c>
    </row>
    <row r="27" spans="1:9" ht="12.75" customHeight="1" x14ac:dyDescent="0.2">
      <c r="A27" s="2" t="s">
        <v>33</v>
      </c>
      <c r="D27" s="31" t="e">
        <f>IF(SUM(detalle1!D:D)=0,0,SUM(detalle1!T:T)/SUM(detalle1!D:D))-IF(G16+I16+G22+I22=0,0,(D16*(G16+I16)+D22*(G22+I22))/(G16+I16+G22+I22))</f>
        <v>#REF!</v>
      </c>
      <c r="E27" s="31">
        <f>IF(SUMIF(detalle1!V:V,"&gt;199",detalle1!D:D)=0,0,SUMIF(detalle1!V:V,"&gt;199",detalle1!T:T)/SUMIF(detalle1!V:V,"&gt;199",detalle1!D:D))-IF(I16+I22=0,0,(E16*I16+E22*I22)/(I16+I22))</f>
        <v>0</v>
      </c>
      <c r="F27" s="31"/>
      <c r="G27" s="31"/>
      <c r="H27" s="31">
        <f>COUNTIF(detalle1!P:P,"&gt;30")-H26+H25</f>
        <v>1</v>
      </c>
      <c r="I27" s="31">
        <f>SUMIF(detalle1!P:P,"&gt;30",detalle1!D:D)-I26+I25</f>
        <v>5793.48</v>
      </c>
    </row>
    <row r="30" spans="1:9" ht="13.5" thickBot="1" x14ac:dyDescent="0.25">
      <c r="A30" s="1" t="s">
        <v>16</v>
      </c>
    </row>
    <row r="31" spans="1:9" ht="12.75" customHeight="1" x14ac:dyDescent="0.2">
      <c r="A31" s="148" t="s">
        <v>36</v>
      </c>
      <c r="B31" s="149"/>
      <c r="C31" s="150"/>
      <c r="D31" s="118" t="s">
        <v>41</v>
      </c>
      <c r="E31" s="119"/>
      <c r="F31" s="119"/>
      <c r="G31" s="120"/>
    </row>
    <row r="32" spans="1:9" ht="21" customHeight="1" x14ac:dyDescent="0.2">
      <c r="A32" s="151"/>
      <c r="B32" s="152"/>
      <c r="C32" s="153"/>
      <c r="D32" s="54" t="s">
        <v>42</v>
      </c>
      <c r="E32" s="22" t="s">
        <v>6</v>
      </c>
      <c r="F32" s="22" t="s">
        <v>25</v>
      </c>
      <c r="G32" s="67" t="s">
        <v>6</v>
      </c>
    </row>
    <row r="33" spans="1:9" ht="12.75" customHeight="1" x14ac:dyDescent="0.2">
      <c r="A33" s="89"/>
      <c r="B33" s="139" t="s">
        <v>37</v>
      </c>
      <c r="C33" s="140"/>
      <c r="D33" s="64">
        <v>18</v>
      </c>
      <c r="E33" s="26">
        <f>IF($D$38=0,0,D33*100/$D$38)</f>
        <v>100</v>
      </c>
      <c r="F33" s="32">
        <f>SUM(G17:G22)</f>
        <v>1156475.8999999999</v>
      </c>
      <c r="G33" s="231">
        <f>IF($F$38=0,0,F33*100/$F$38)</f>
        <v>100</v>
      </c>
    </row>
    <row r="34" spans="1:9" ht="12.75" customHeight="1" x14ac:dyDescent="0.2">
      <c r="A34" s="89"/>
      <c r="B34" s="141" t="s">
        <v>38</v>
      </c>
      <c r="C34" s="142"/>
      <c r="D34" s="65"/>
      <c r="E34" s="26">
        <f>IF($D$38=0,0,D34*100/$D$38)</f>
        <v>0</v>
      </c>
      <c r="F34" s="26"/>
      <c r="G34" s="78">
        <f>IF($F$38=0,0,F34*100/$F$38)</f>
        <v>0</v>
      </c>
    </row>
    <row r="35" spans="1:9" ht="12.75" customHeight="1" x14ac:dyDescent="0.2">
      <c r="A35" s="89"/>
      <c r="B35" s="141" t="s">
        <v>39</v>
      </c>
      <c r="C35" s="142"/>
      <c r="D35" s="65"/>
      <c r="E35" s="26">
        <f>IF($D$38=0,0,D35*100/$D$38)</f>
        <v>0</v>
      </c>
      <c r="F35" s="26"/>
      <c r="G35" s="78">
        <f>IF($F$38=0,0,F35*100/$F$38)</f>
        <v>0</v>
      </c>
    </row>
    <row r="36" spans="1:9" ht="12.75" customHeight="1" x14ac:dyDescent="0.2">
      <c r="A36" s="89"/>
      <c r="B36" s="141" t="s">
        <v>38</v>
      </c>
      <c r="C36" s="142"/>
      <c r="D36" s="65"/>
      <c r="E36" s="26">
        <f>IF($D$38=0,0,D36*100/$D$38)</f>
        <v>0</v>
      </c>
      <c r="F36" s="26"/>
      <c r="G36" s="78">
        <f>IF($F$38=0,0,F36*100/$F$38)</f>
        <v>0</v>
      </c>
    </row>
    <row r="37" spans="1:9" ht="12.75" customHeight="1" x14ac:dyDescent="0.2">
      <c r="A37" s="98"/>
      <c r="B37" s="143" t="s">
        <v>40</v>
      </c>
      <c r="C37" s="144"/>
      <c r="D37" s="87"/>
      <c r="E37" s="26">
        <f>IF($D$38=0,0,D37*100/$D$38)</f>
        <v>0</v>
      </c>
      <c r="F37" s="30">
        <f>SUMIF([2]xehet1!Q:Q,"&gt;60",[2]xehet1!D:D)+IF(E25&gt;60,I25)</f>
        <v>0</v>
      </c>
      <c r="G37" s="78">
        <f>IF($F$38=0,0,F37*100/$F$38)</f>
        <v>0</v>
      </c>
    </row>
    <row r="38" spans="1:9" ht="12.75" customHeight="1" thickBot="1" x14ac:dyDescent="0.25">
      <c r="A38" s="160" t="s">
        <v>20</v>
      </c>
      <c r="B38" s="161"/>
      <c r="C38" s="162"/>
      <c r="D38" s="73">
        <f>SUM(D33:D37)</f>
        <v>18</v>
      </c>
      <c r="E38" s="74">
        <f>SUM(E33:E37)</f>
        <v>100</v>
      </c>
      <c r="F38" s="74">
        <f>SUM(F33:F37)</f>
        <v>1156475.8999999999</v>
      </c>
      <c r="G38" s="75">
        <f>SUM(G33:G37)</f>
        <v>100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/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68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48" t="s">
        <v>61</v>
      </c>
      <c r="B45" s="149"/>
      <c r="C45" s="163"/>
      <c r="D45" s="165" t="s">
        <v>18</v>
      </c>
      <c r="E45" s="166"/>
      <c r="F45" s="167" t="s">
        <v>43</v>
      </c>
      <c r="G45" s="168"/>
      <c r="H45" s="168"/>
      <c r="I45" s="169"/>
    </row>
    <row r="46" spans="1:9" ht="12.75" customHeight="1" x14ac:dyDescent="0.2">
      <c r="A46" s="151"/>
      <c r="B46" s="152"/>
      <c r="C46" s="164"/>
      <c r="D46" s="170" t="s">
        <v>19</v>
      </c>
      <c r="E46" s="171"/>
      <c r="F46" s="172" t="s">
        <v>21</v>
      </c>
      <c r="G46" s="173"/>
      <c r="H46" s="173" t="s">
        <v>22</v>
      </c>
      <c r="I46" s="174"/>
    </row>
    <row r="47" spans="1:9" ht="22.5" x14ac:dyDescent="0.2">
      <c r="A47" s="151"/>
      <c r="B47" s="152"/>
      <c r="C47" s="164"/>
      <c r="D47" s="57" t="s">
        <v>20</v>
      </c>
      <c r="E47" s="23" t="s">
        <v>60</v>
      </c>
      <c r="F47" s="54" t="s">
        <v>44</v>
      </c>
      <c r="G47" s="22" t="s">
        <v>25</v>
      </c>
      <c r="H47" s="22" t="s">
        <v>44</v>
      </c>
      <c r="I47" s="67" t="s">
        <v>25</v>
      </c>
    </row>
    <row r="48" spans="1:9" ht="12.75" customHeight="1" x14ac:dyDescent="0.2">
      <c r="A48" s="154" t="s">
        <v>35</v>
      </c>
      <c r="B48" s="155"/>
      <c r="C48" s="155"/>
      <c r="D48" s="58">
        <f>SUM(D49:D53)</f>
        <v>0</v>
      </c>
      <c r="E48" s="59">
        <f>IF(I48=0,0,(E49*I49+E50*I50+E51*I51+E52*I52+E53*I53)/I48)</f>
        <v>0</v>
      </c>
      <c r="F48" s="55">
        <f>SUM(F49:F53)</f>
        <v>2</v>
      </c>
      <c r="G48" s="24">
        <f>SUM(G49:G53)</f>
        <v>934.42</v>
      </c>
      <c r="H48" s="25">
        <f>SUM(H49:H53)</f>
        <v>0</v>
      </c>
      <c r="I48" s="88">
        <f>SUM(I49:I53)</f>
        <v>0</v>
      </c>
    </row>
    <row r="49" spans="1:9" ht="12.75" customHeight="1" x14ac:dyDescent="0.2">
      <c r="A49" s="89"/>
      <c r="B49" s="90" t="s">
        <v>0</v>
      </c>
      <c r="C49" s="2" t="s">
        <v>26</v>
      </c>
      <c r="D49" s="60">
        <v>0</v>
      </c>
      <c r="E49" s="35">
        <f>IF(H49=0,0,SUMIF([1]xehet2!V$1:V$65536,220,[1]xehet2!T$1:T$65536)/SUMIF([1]xehet2!V$1:V$65536,220,[1]xehet2!D$1:D$65536))</f>
        <v>0</v>
      </c>
      <c r="F49" s="36"/>
      <c r="G49" s="26"/>
      <c r="H49" s="27"/>
      <c r="I49" s="78"/>
    </row>
    <row r="50" spans="1:9" ht="12.75" customHeight="1" x14ac:dyDescent="0.2">
      <c r="A50" s="89"/>
      <c r="B50" s="90" t="s">
        <v>1</v>
      </c>
      <c r="C50" s="2" t="s">
        <v>27</v>
      </c>
      <c r="D50" s="60">
        <v>0</v>
      </c>
      <c r="E50" s="35">
        <f>IF(H50=0,0,SUMIF([1]xehet2!V$1:V$65536,221,[1]xehet2!T$1:T$65536)/SUMIF([1]xehet2!V$1:V$65536,221,[1]xehet2!D$1:D$65536))</f>
        <v>0</v>
      </c>
      <c r="F50" s="36">
        <f>+[2]xehet2!F18</f>
        <v>1</v>
      </c>
      <c r="G50" s="26">
        <f>+[2]xehet2!D18</f>
        <v>757</v>
      </c>
      <c r="H50" s="27"/>
      <c r="I50" s="78"/>
    </row>
    <row r="51" spans="1:9" ht="12.75" customHeight="1" x14ac:dyDescent="0.2">
      <c r="A51" s="89"/>
      <c r="B51" s="90" t="s">
        <v>2</v>
      </c>
      <c r="C51" s="2" t="s">
        <v>28</v>
      </c>
      <c r="D51" s="60">
        <v>0</v>
      </c>
      <c r="E51" s="35">
        <f>IF(H51=0,0,SUMIF([1]xehet2!V$1:V$65536,222,[1]xehet2!T$1:T$65536)/SUMIF([1]xehet2!V$1:V$65536,222,[1]xehet2!D$1:D$65536))</f>
        <v>0</v>
      </c>
      <c r="F51" s="36">
        <f>+[2]xehet2!F19</f>
        <v>1</v>
      </c>
      <c r="G51" s="26">
        <f>+[2]xehet2!D19</f>
        <v>177.42</v>
      </c>
      <c r="H51" s="27"/>
      <c r="I51" s="78"/>
    </row>
    <row r="52" spans="1:9" ht="12.75" customHeight="1" x14ac:dyDescent="0.2">
      <c r="A52" s="89"/>
      <c r="B52" s="90" t="s">
        <v>3</v>
      </c>
      <c r="C52" s="2" t="s">
        <v>29</v>
      </c>
      <c r="D52" s="60">
        <v>0</v>
      </c>
      <c r="E52" s="35">
        <f>IF(H52=0,0,SUMIF([1]xehet2!V$1:V$65536,223,[1]xehet2!T$1:T$65536)/SUMIF([1]xehet2!V$1:V$65536,223,[1]xehet2!D$1:D$65536))</f>
        <v>0</v>
      </c>
      <c r="F52" s="36"/>
      <c r="G52" s="26"/>
      <c r="H52" s="27"/>
      <c r="I52" s="78"/>
    </row>
    <row r="53" spans="1:9" ht="12.75" customHeight="1" x14ac:dyDescent="0.2">
      <c r="A53" s="89"/>
      <c r="B53" s="90" t="s">
        <v>4</v>
      </c>
      <c r="C53" s="2" t="s">
        <v>30</v>
      </c>
      <c r="D53" s="60">
        <v>0</v>
      </c>
      <c r="E53" s="35">
        <f>IF(H53=0,0,SUMIF([1]xehet2!V$1:V$65536,229,[1]xehet2!T$1:T$65536)/SUMIF([1]xehet2!V$1:V$65536,229,[1]xehet2!D$1:D$65536))</f>
        <v>0</v>
      </c>
      <c r="F53" s="36"/>
      <c r="G53" s="26"/>
      <c r="H53" s="27"/>
      <c r="I53" s="78"/>
    </row>
    <row r="54" spans="1:9" ht="12.75" customHeight="1" x14ac:dyDescent="0.2">
      <c r="A54" s="154" t="s">
        <v>31</v>
      </c>
      <c r="B54" s="155"/>
      <c r="C54" s="155"/>
      <c r="D54" s="58">
        <f t="shared" ref="D54:I54" si="2">D55</f>
        <v>0</v>
      </c>
      <c r="E54" s="59">
        <f t="shared" si="2"/>
        <v>0</v>
      </c>
      <c r="F54" s="56">
        <f>SUM(F55)</f>
        <v>2</v>
      </c>
      <c r="G54" s="29">
        <f>+G55</f>
        <v>930.5</v>
      </c>
      <c r="H54" s="28">
        <f t="shared" si="2"/>
        <v>0</v>
      </c>
      <c r="I54" s="88">
        <f t="shared" si="2"/>
        <v>0</v>
      </c>
    </row>
    <row r="55" spans="1:9" ht="12.75" customHeight="1" x14ac:dyDescent="0.2">
      <c r="A55" s="89"/>
      <c r="B55" s="91" t="s">
        <v>5</v>
      </c>
      <c r="C55" s="2" t="s">
        <v>31</v>
      </c>
      <c r="D55" s="60">
        <v>0</v>
      </c>
      <c r="E55" s="35">
        <f>IF(H55=0,0,SUMIF([1]xehet2!V$1:V$65536,269,[1]xehet2!T$1:T$65536)/SUMIF([1]xehet2!V$1:V$65536,269,[1]xehet2!D$1:D$65536))</f>
        <v>0</v>
      </c>
      <c r="F55" s="36">
        <f>+[2]xehet2!F17</f>
        <v>2</v>
      </c>
      <c r="G55" s="26">
        <f>+[2]xehet2!D17</f>
        <v>930.5</v>
      </c>
      <c r="H55" s="27"/>
      <c r="I55" s="78"/>
    </row>
    <row r="56" spans="1:9" ht="12.75" customHeight="1" x14ac:dyDescent="0.2">
      <c r="A56" s="154" t="s">
        <v>34</v>
      </c>
      <c r="B56" s="155"/>
      <c r="C56" s="155"/>
      <c r="D56" s="58">
        <f t="shared" ref="D56:I56" si="3">D57</f>
        <v>0</v>
      </c>
      <c r="E56" s="59">
        <f t="shared" si="3"/>
        <v>0</v>
      </c>
      <c r="F56" s="56">
        <v>0</v>
      </c>
      <c r="G56" s="29">
        <v>0</v>
      </c>
      <c r="H56" s="28">
        <f t="shared" si="3"/>
        <v>0</v>
      </c>
      <c r="I56" s="88">
        <f t="shared" si="3"/>
        <v>0</v>
      </c>
    </row>
    <row r="57" spans="1:9" ht="12.75" customHeight="1" x14ac:dyDescent="0.2">
      <c r="A57" s="89"/>
      <c r="B57" s="143" t="s">
        <v>32</v>
      </c>
      <c r="C57" s="143"/>
      <c r="D57" s="92"/>
      <c r="E57" s="93"/>
      <c r="F57" s="94"/>
      <c r="G57" s="95"/>
      <c r="H57" s="96"/>
      <c r="I57" s="97"/>
    </row>
    <row r="58" spans="1:9" ht="12.75" customHeight="1" thickBot="1" x14ac:dyDescent="0.25">
      <c r="A58" s="156" t="s">
        <v>20</v>
      </c>
      <c r="B58" s="157"/>
      <c r="C58" s="157"/>
      <c r="D58" s="68">
        <f>+D56+D54+D48</f>
        <v>0</v>
      </c>
      <c r="E58" s="69">
        <f>IF(I58=0,0,(E48*I48+E54*I54+E56*I56)/I58)</f>
        <v>0</v>
      </c>
      <c r="F58" s="70">
        <f>+F54+F48</f>
        <v>4</v>
      </c>
      <c r="G58" s="71">
        <f>+G54+G48</f>
        <v>1864.92</v>
      </c>
      <c r="H58" s="72">
        <f>H48+H54+H56</f>
        <v>0</v>
      </c>
      <c r="I58" s="75">
        <f>I48+I54+I56</f>
        <v>0</v>
      </c>
    </row>
    <row r="59" spans="1:9" ht="12.75" customHeight="1" x14ac:dyDescent="0.2">
      <c r="A59" s="2" t="s">
        <v>33</v>
      </c>
      <c r="D59" s="109">
        <v>0</v>
      </c>
      <c r="E59" s="31"/>
      <c r="F59" s="31"/>
      <c r="G59" s="31"/>
      <c r="H59" s="31"/>
      <c r="I59" s="31"/>
    </row>
    <row r="60" spans="1:9" ht="12.75" customHeight="1" x14ac:dyDescent="0.2">
      <c r="E60" s="101">
        <f>SUMIF(detalle2!V:V,"&gt;199",detalle2!D:D)</f>
        <v>0</v>
      </c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63</v>
      </c>
    </row>
    <row r="67" spans="1:7" ht="33.75" x14ac:dyDescent="0.2">
      <c r="A67" s="148" t="s">
        <v>62</v>
      </c>
      <c r="B67" s="149"/>
      <c r="C67" s="150"/>
      <c r="D67" s="76" t="s">
        <v>46</v>
      </c>
      <c r="E67" s="66" t="s">
        <v>47</v>
      </c>
      <c r="F67" s="77" t="s">
        <v>25</v>
      </c>
      <c r="G67" s="34"/>
    </row>
    <row r="68" spans="1:7" ht="12.75" customHeight="1" x14ac:dyDescent="0.2">
      <c r="A68" s="99"/>
      <c r="B68" s="158" t="s">
        <v>35</v>
      </c>
      <c r="C68" s="159"/>
      <c r="D68" s="61">
        <f>IF(E68=0,0,SUMIF(detalle32!T:T,22,detalle32!R:R)/SUMIF(detalle32!T:T,22,detalle32!D:D))</f>
        <v>0</v>
      </c>
      <c r="E68" s="27">
        <f>COUNTIF(detalle32!T:T,22)</f>
        <v>0</v>
      </c>
      <c r="F68" s="78">
        <f>SUMIF(detalle32!T:T,22,detalle32!D:D)</f>
        <v>0</v>
      </c>
    </row>
    <row r="69" spans="1:7" ht="12.75" customHeight="1" x14ac:dyDescent="0.2">
      <c r="A69" s="89"/>
      <c r="B69" s="141" t="s">
        <v>31</v>
      </c>
      <c r="C69" s="142"/>
      <c r="D69" s="61">
        <f>IF(E69=0,0,SUMIF(detalle32!T:T,26,detalle32!R:R)/SUMIF(detalle32!T:T,26,detalle32!D:D))</f>
        <v>0</v>
      </c>
      <c r="E69" s="27">
        <f>COUNTIF(detalle32!T:T,26)</f>
        <v>0</v>
      </c>
      <c r="F69" s="78">
        <f>SUMIF(detalle32!T:T,26,detalle32!D:D)</f>
        <v>0</v>
      </c>
    </row>
    <row r="70" spans="1:7" ht="12.75" customHeight="1" x14ac:dyDescent="0.2">
      <c r="A70" s="98"/>
      <c r="B70" s="143" t="s">
        <v>45</v>
      </c>
      <c r="C70" s="144"/>
      <c r="D70" s="61">
        <f>IF(E70=0,0,SUMIF(detalle32!T:T,29,detalle32!R:R)/SUMIF(detalle32!T:T,29,detalle32!D:D))</f>
        <v>0</v>
      </c>
      <c r="E70" s="27">
        <f>COUNTIF(detalle32!T:T,29)</f>
        <v>0</v>
      </c>
      <c r="F70" s="78">
        <f>SUMIF(detalle32!T:T,29,detalle32!D:D)</f>
        <v>0</v>
      </c>
    </row>
    <row r="71" spans="1:7" ht="12.75" customHeight="1" thickBot="1" x14ac:dyDescent="0.25">
      <c r="A71" s="145" t="s">
        <v>20</v>
      </c>
      <c r="B71" s="146"/>
      <c r="C71" s="147"/>
      <c r="D71" s="79">
        <f>IF(F71=0,0,(D68*F68+D69*F69+D70*F70)/F71)</f>
        <v>0</v>
      </c>
      <c r="E71" s="72">
        <f>SUM(E68:E70)</f>
        <v>0</v>
      </c>
      <c r="F71" s="80">
        <f>SUM(F68:F70)</f>
        <v>0</v>
      </c>
    </row>
    <row r="72" spans="1:7" ht="12.75" customHeight="1" x14ac:dyDescent="0.2">
      <c r="D72" s="31">
        <f>IF(D73=0,0,SUMIF(detalle32!O:O,"&gt;90",detalle32!R:R)/SUMIF(detalle32!O:O,"&gt;90",detalle32!D:D))-IF(D71="",0,D71)</f>
        <v>0</v>
      </c>
      <c r="E72" s="31">
        <f>COUNTIF(detalle32!O:O,"&gt;90")-E71</f>
        <v>0</v>
      </c>
      <c r="F72" s="31">
        <f>SUMIF(detalle32!O:O,"&gt;90",detalle32!D:D)-F71</f>
        <v>0</v>
      </c>
    </row>
    <row r="73" spans="1:7" ht="12.75" customHeight="1" x14ac:dyDescent="0.2">
      <c r="D73" s="101">
        <f>SUMIF(detalle32!O:O,"&gt;90",detalle32!D:D)</f>
        <v>0</v>
      </c>
    </row>
    <row r="74" spans="1:7" s="19" customFormat="1" ht="13.5" thickBot="1" x14ac:dyDescent="0.25">
      <c r="A74" s="1" t="s">
        <v>65</v>
      </c>
    </row>
    <row r="75" spans="1:7" ht="12.75" customHeight="1" x14ac:dyDescent="0.2">
      <c r="A75" s="148" t="s">
        <v>66</v>
      </c>
      <c r="B75" s="149"/>
      <c r="C75" s="150"/>
      <c r="D75" s="118" t="s">
        <v>55</v>
      </c>
      <c r="E75" s="119"/>
      <c r="F75" s="119"/>
      <c r="G75" s="120"/>
    </row>
    <row r="76" spans="1:7" ht="22.5" x14ac:dyDescent="0.2">
      <c r="A76" s="151"/>
      <c r="B76" s="152"/>
      <c r="C76" s="153"/>
      <c r="D76" s="54" t="s">
        <v>42</v>
      </c>
      <c r="E76" s="22" t="s">
        <v>6</v>
      </c>
      <c r="F76" s="22" t="s">
        <v>25</v>
      </c>
      <c r="G76" s="67" t="s">
        <v>6</v>
      </c>
    </row>
    <row r="77" spans="1:7" ht="12.75" customHeight="1" x14ac:dyDescent="0.2">
      <c r="A77" s="99"/>
      <c r="B77" s="139" t="s">
        <v>37</v>
      </c>
      <c r="C77" s="140"/>
      <c r="D77" s="36">
        <f>COUNTIF(detalle32!O:O,"&lt;=30")</f>
        <v>0</v>
      </c>
      <c r="E77" s="37">
        <v>100</v>
      </c>
      <c r="F77" s="26"/>
      <c r="G77" s="81">
        <f>IF($F$81=0,0,F77*100/$F$81)</f>
        <v>0</v>
      </c>
    </row>
    <row r="78" spans="1:7" ht="12.75" customHeight="1" x14ac:dyDescent="0.2">
      <c r="A78" s="89"/>
      <c r="B78" s="141" t="s">
        <v>48</v>
      </c>
      <c r="C78" s="142"/>
      <c r="D78" s="36">
        <f>COUNTIF(detalle32!O:O,"&lt;=60")-D77</f>
        <v>0</v>
      </c>
      <c r="E78" s="37">
        <f>IF($D$81=0,0,D78*100/$D$81)</f>
        <v>0</v>
      </c>
      <c r="F78" s="26"/>
      <c r="G78" s="81">
        <f>IF($F$81=0,0,F78*100/$F$81)</f>
        <v>0</v>
      </c>
    </row>
    <row r="79" spans="1:7" ht="12.75" customHeight="1" x14ac:dyDescent="0.2">
      <c r="A79" s="89"/>
      <c r="B79" s="141" t="s">
        <v>49</v>
      </c>
      <c r="C79" s="142"/>
      <c r="D79" s="36">
        <f>COUNTIF(detalle32!O:O,"&lt;=90")-SUM(D77:D78)</f>
        <v>0</v>
      </c>
      <c r="E79" s="37">
        <f>IF($D$81=0,0,D79*100/$D$81)</f>
        <v>0</v>
      </c>
      <c r="F79" s="26"/>
      <c r="G79" s="81">
        <f>IF($F$81=0,0,F79*100/$F$81)</f>
        <v>0</v>
      </c>
    </row>
    <row r="80" spans="1:7" ht="12.75" customHeight="1" x14ac:dyDescent="0.2">
      <c r="A80" s="89"/>
      <c r="B80" s="143" t="s">
        <v>50</v>
      </c>
      <c r="C80" s="144"/>
      <c r="D80" s="36">
        <f>COUNTIF(detalle32!O:O,"&gt;90")</f>
        <v>0</v>
      </c>
      <c r="E80" s="37">
        <f>IF($D$81=0,0,D80*100/$D$81)</f>
        <v>0</v>
      </c>
      <c r="F80" s="26">
        <f>SUMIF(detalle32!O:O,"&gt;90",detalle32!D:D)</f>
        <v>0</v>
      </c>
      <c r="G80" s="81">
        <f>IF($F$81=0,0,F80*100/$F$81)</f>
        <v>0</v>
      </c>
    </row>
    <row r="81" spans="1:8" ht="12.75" customHeight="1" thickBot="1" x14ac:dyDescent="0.25">
      <c r="A81" s="123" t="s">
        <v>20</v>
      </c>
      <c r="B81" s="124"/>
      <c r="C81" s="125"/>
      <c r="D81" s="70">
        <f>SUM(D77:D80)</f>
        <v>0</v>
      </c>
      <c r="E81" s="82">
        <f>SUM(E77:E80)</f>
        <v>100</v>
      </c>
      <c r="F81" s="71">
        <f>SUM(F77:F80)</f>
        <v>0</v>
      </c>
      <c r="G81" s="83">
        <f>SUM(G77:G80)</f>
        <v>0</v>
      </c>
    </row>
    <row r="82" spans="1:8" ht="12.75" customHeight="1" x14ac:dyDescent="0.2">
      <c r="A82" s="33"/>
      <c r="B82" s="33"/>
      <c r="C82" s="33"/>
      <c r="D82" s="31">
        <f>COUNT(detalle32!D:D)-D81</f>
        <v>0</v>
      </c>
      <c r="E82" s="31"/>
      <c r="F82" s="31"/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51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26" t="s">
        <v>52</v>
      </c>
      <c r="B88" s="127"/>
      <c r="C88" s="128"/>
      <c r="D88" s="137" t="s">
        <v>58</v>
      </c>
      <c r="E88" s="138"/>
      <c r="F88" s="137" t="s">
        <v>59</v>
      </c>
      <c r="G88" s="138"/>
      <c r="H88" s="132" t="s">
        <v>56</v>
      </c>
    </row>
    <row r="89" spans="1:8" ht="12.75" customHeight="1" x14ac:dyDescent="0.2">
      <c r="A89" s="129"/>
      <c r="B89" s="130"/>
      <c r="C89" s="131"/>
      <c r="D89" s="62" t="s">
        <v>54</v>
      </c>
      <c r="E89" s="63" t="s">
        <v>57</v>
      </c>
      <c r="F89" s="62" t="s">
        <v>54</v>
      </c>
      <c r="G89" s="63" t="s">
        <v>57</v>
      </c>
      <c r="H89" s="133"/>
    </row>
    <row r="90" spans="1:8" ht="12.75" customHeight="1" thickBot="1" x14ac:dyDescent="0.25">
      <c r="A90" s="134" t="str">
        <f>D3</f>
        <v>OARSOALDEA</v>
      </c>
      <c r="B90" s="135"/>
      <c r="C90" s="136"/>
      <c r="D90" s="84">
        <v>0</v>
      </c>
      <c r="E90" s="85">
        <f>+G26</f>
        <v>1156475.8999999999</v>
      </c>
      <c r="F90" s="84">
        <v>0</v>
      </c>
      <c r="G90" s="85">
        <f>+G58</f>
        <v>1864.92</v>
      </c>
      <c r="H90" s="86">
        <f>IF(E90=0,F90,IF(G90=0,D90,(D90*E90+F90*G90)/(E90+G90)))</f>
        <v>0</v>
      </c>
    </row>
    <row r="91" spans="1:8" ht="12.75" customHeight="1" x14ac:dyDescent="0.2">
      <c r="D91" s="31"/>
      <c r="E91" s="102">
        <f>E90-F38</f>
        <v>0</v>
      </c>
      <c r="F91" s="102"/>
      <c r="G91" s="102">
        <f>G90-G58-I58-F81</f>
        <v>0</v>
      </c>
      <c r="H91" s="102">
        <f>IF(H92=0,0,(SUM(detalle1!U:U)+SUM(detalle2!U:U)+SUM(detalle32!S:S)+D24*(G24+I24)+D56*(G56+I56))/(SUM(detalle1!D:D)+SUM(detalle2!D:D)+SUM(detalle32!D:D)+G24+I24+G56+I56))-IF(H90="",0,H90)</f>
        <v>0</v>
      </c>
    </row>
    <row r="92" spans="1:8" ht="12.75" customHeight="1" thickBot="1" x14ac:dyDescent="0.25">
      <c r="A92" s="4" t="s">
        <v>53</v>
      </c>
      <c r="H92" s="100">
        <f>(SUM(detalle1!D:D)+SUM(detalle2!D:D)+SUM(detalle32!D:D)+G24+I24+G56+I56)</f>
        <v>4633363.2799999993</v>
      </c>
    </row>
    <row r="93" spans="1:8" ht="43.5" customHeight="1" thickBot="1" x14ac:dyDescent="0.25">
      <c r="B93" s="121"/>
      <c r="C93" s="122"/>
    </row>
  </sheetData>
  <mergeCells count="51">
    <mergeCell ref="A1:B1"/>
    <mergeCell ref="A2:I2"/>
    <mergeCell ref="D3:G3"/>
    <mergeCell ref="A13:C15"/>
    <mergeCell ref="D13:E13"/>
    <mergeCell ref="F13:I13"/>
    <mergeCell ref="D14:E14"/>
    <mergeCell ref="F14:G14"/>
    <mergeCell ref="H14:I14"/>
    <mergeCell ref="B35:C35"/>
    <mergeCell ref="A16:C16"/>
    <mergeCell ref="A22:C22"/>
    <mergeCell ref="A24:C24"/>
    <mergeCell ref="B25:C25"/>
    <mergeCell ref="A26:C26"/>
    <mergeCell ref="A31:C32"/>
    <mergeCell ref="B33:C33"/>
    <mergeCell ref="B34:C34"/>
    <mergeCell ref="F45:I45"/>
    <mergeCell ref="D46:E46"/>
    <mergeCell ref="F46:G46"/>
    <mergeCell ref="H46:I46"/>
    <mergeCell ref="D31:G31"/>
    <mergeCell ref="B36:C36"/>
    <mergeCell ref="B37:C37"/>
    <mergeCell ref="A38:C38"/>
    <mergeCell ref="A45:C47"/>
    <mergeCell ref="D45:E45"/>
    <mergeCell ref="A71:C71"/>
    <mergeCell ref="A75:C76"/>
    <mergeCell ref="A48:C48"/>
    <mergeCell ref="A54:C54"/>
    <mergeCell ref="A56:C56"/>
    <mergeCell ref="B57:C57"/>
    <mergeCell ref="A58:C58"/>
    <mergeCell ref="A67:C67"/>
    <mergeCell ref="B68:C68"/>
    <mergeCell ref="B69:C69"/>
    <mergeCell ref="B70:C70"/>
    <mergeCell ref="D75:G75"/>
    <mergeCell ref="B93:C93"/>
    <mergeCell ref="A81:C81"/>
    <mergeCell ref="A88:C89"/>
    <mergeCell ref="H88:H89"/>
    <mergeCell ref="A90:C90"/>
    <mergeCell ref="D88:E88"/>
    <mergeCell ref="F88:G88"/>
    <mergeCell ref="B77:C77"/>
    <mergeCell ref="B78:C78"/>
    <mergeCell ref="B80:C80"/>
    <mergeCell ref="B79:C79"/>
  </mergeCells>
  <phoneticPr fontId="4" type="noConversion"/>
  <conditionalFormatting sqref="A1:B1 D27:F27 H27:I27 D39:F40 D72:F72 D82:F83 E91:H91">
    <cfRule type="cellIs" dxfId="22" priority="24" stopIfTrue="1" operator="equal">
      <formula>0</formula>
    </cfRule>
  </conditionalFormatting>
  <conditionalFormatting sqref="D16 D22 D24">
    <cfRule type="expression" dxfId="21" priority="19" stopIfTrue="1">
      <formula>F16+H16=0</formula>
    </cfRule>
  </conditionalFormatting>
  <conditionalFormatting sqref="D17:D21">
    <cfRule type="expression" dxfId="20" priority="29" stopIfTrue="1">
      <formula>#REF!+H17=0</formula>
    </cfRule>
  </conditionalFormatting>
  <conditionalFormatting sqref="D23 D68:D70">
    <cfRule type="expression" dxfId="19" priority="17" stopIfTrue="1">
      <formula>F23+H23=0</formula>
    </cfRule>
  </conditionalFormatting>
  <conditionalFormatting sqref="D48 D54 D56">
    <cfRule type="expression" dxfId="18" priority="6" stopIfTrue="1">
      <formula>F48+H48=0</formula>
    </cfRule>
  </conditionalFormatting>
  <conditionalFormatting sqref="D49:D53">
    <cfRule type="expression" dxfId="17" priority="28" stopIfTrue="1">
      <formula>F17+H49=0</formula>
    </cfRule>
  </conditionalFormatting>
  <conditionalFormatting sqref="D55">
    <cfRule type="expression" dxfId="16" priority="8" stopIfTrue="1">
      <formula>F55+H55=0</formula>
    </cfRule>
  </conditionalFormatting>
  <conditionalFormatting sqref="D54:E54 D26:E26 D71">
    <cfRule type="cellIs" dxfId="15" priority="25" stopIfTrue="1" operator="equal">
      <formula>0</formula>
    </cfRule>
  </conditionalFormatting>
  <conditionalFormatting sqref="D58:E58">
    <cfRule type="cellIs" dxfId="14" priority="4" stopIfTrue="1" operator="equal">
      <formula>0</formula>
    </cfRule>
  </conditionalFormatting>
  <conditionalFormatting sqref="D59:E59">
    <cfRule type="cellIs" dxfId="13" priority="26" stopIfTrue="1" operator="between">
      <formula>-0.001</formula>
      <formula>0.001</formula>
    </cfRule>
  </conditionalFormatting>
  <conditionalFormatting sqref="E16 E22 E24">
    <cfRule type="expression" dxfId="12" priority="20" stopIfTrue="1">
      <formula>H16=0</formula>
    </cfRule>
  </conditionalFormatting>
  <conditionalFormatting sqref="E17:E21 E23">
    <cfRule type="expression" dxfId="11" priority="18" stopIfTrue="1">
      <formula>H17=0</formula>
    </cfRule>
  </conditionalFormatting>
  <conditionalFormatting sqref="E38">
    <cfRule type="expression" dxfId="10" priority="22" stopIfTrue="1">
      <formula>$D$38=0</formula>
    </cfRule>
  </conditionalFormatting>
  <conditionalFormatting sqref="E48 E54 E56">
    <cfRule type="expression" dxfId="9" priority="5" stopIfTrue="1">
      <formula>H48=0</formula>
    </cfRule>
  </conditionalFormatting>
  <conditionalFormatting sqref="E49:E53 E55">
    <cfRule type="expression" dxfId="8" priority="7" stopIfTrue="1">
      <formula>H49=0</formula>
    </cfRule>
  </conditionalFormatting>
  <conditionalFormatting sqref="E77:E80">
    <cfRule type="expression" dxfId="7" priority="21" stopIfTrue="1">
      <formula>$D$81=0</formula>
    </cfRule>
  </conditionalFormatting>
  <conditionalFormatting sqref="F59:I59">
    <cfRule type="cellIs" dxfId="6" priority="3" stopIfTrue="1" operator="equal">
      <formula>0</formula>
    </cfRule>
  </conditionalFormatting>
  <conditionalFormatting sqref="G27">
    <cfRule type="cellIs" dxfId="5" priority="27" stopIfTrue="1" operator="between">
      <formula>-0.00001</formula>
      <formula>0.00001</formula>
    </cfRule>
  </conditionalFormatting>
  <conditionalFormatting sqref="G38">
    <cfRule type="expression" dxfId="4" priority="23" stopIfTrue="1">
      <formula>$F$38=0</formula>
    </cfRule>
  </conditionalFormatting>
  <conditionalFormatting sqref="G77:G80">
    <cfRule type="expression" dxfId="3" priority="16" stopIfTrue="1">
      <formula>F$81=0</formula>
    </cfRule>
  </conditionalFormatting>
  <conditionalFormatting sqref="D90 F90">
    <cfRule type="cellIs" dxfId="1" priority="2" stopIfTrue="1" operator="equal">
      <formula>0</formula>
    </cfRule>
  </conditionalFormatting>
  <conditionalFormatting sqref="H90">
    <cfRule type="expression" dxfId="0" priority="1" stopIfTrue="1">
      <formula>$E$90+$G$90=0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H23:I23 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1:V224"/>
  <sheetViews>
    <sheetView zoomScale="85" zoomScaleNormal="85" workbookViewId="0">
      <selection activeCell="A7" sqref="A7:XFD7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9.140625" style="2" customWidth="1"/>
    <col min="4" max="4" width="11.140625" style="8" bestFit="1" customWidth="1"/>
    <col min="5" max="5" width="7.42578125" style="2" bestFit="1" customWidth="1"/>
    <col min="6" max="6" width="11.28515625" style="2" customWidth="1"/>
    <col min="7" max="7" width="18.28515625" style="2" customWidth="1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" style="15" bestFit="1" customWidth="1"/>
    <col min="13" max="13" width="13.5703125" style="15" bestFit="1" customWidth="1"/>
    <col min="14" max="14" width="10.28515625" style="15" bestFit="1" customWidth="1"/>
    <col min="15" max="15" width="10.85546875" style="10" bestFit="1" customWidth="1"/>
    <col min="16" max="16" width="6.5703125" style="10" customWidth="1"/>
    <col min="17" max="17" width="5.42578125" style="10" customWidth="1"/>
    <col min="18" max="18" width="6.7109375" style="10" customWidth="1"/>
    <col min="19" max="19" width="3.85546875" style="2" bestFit="1" customWidth="1"/>
    <col min="20" max="20" width="13" style="8" bestFit="1" customWidth="1"/>
    <col min="21" max="21" width="14.5703125" style="8" bestFit="1" customWidth="1"/>
    <col min="22" max="16384" width="9.140625" style="2"/>
  </cols>
  <sheetData>
    <row r="1" spans="1:22" x14ac:dyDescent="0.2">
      <c r="A1" s="3" t="s">
        <v>69</v>
      </c>
      <c r="B1" s="17"/>
      <c r="C1" s="4"/>
      <c r="D1" s="7"/>
      <c r="E1" s="4"/>
      <c r="F1" s="4"/>
      <c r="G1" s="4"/>
      <c r="H1" s="4"/>
      <c r="I1" s="4"/>
      <c r="J1" s="4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M2" s="180"/>
      <c r="N2" s="180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6" spans="1:22" ht="22.5" x14ac:dyDescent="0.2">
      <c r="A6" s="5" t="s">
        <v>70</v>
      </c>
      <c r="B6" s="18" t="s">
        <v>71</v>
      </c>
      <c r="C6" s="6" t="s">
        <v>72</v>
      </c>
      <c r="D6" s="9" t="s">
        <v>57</v>
      </c>
      <c r="E6" s="5" t="s">
        <v>73</v>
      </c>
      <c r="F6" s="6" t="s">
        <v>74</v>
      </c>
      <c r="G6" s="6" t="s">
        <v>75</v>
      </c>
      <c r="H6" s="6" t="s">
        <v>8</v>
      </c>
      <c r="I6" s="6" t="s">
        <v>9</v>
      </c>
      <c r="J6" s="6" t="s">
        <v>7</v>
      </c>
      <c r="K6" s="16" t="s">
        <v>76</v>
      </c>
      <c r="L6" s="16" t="s">
        <v>77</v>
      </c>
      <c r="M6" s="16" t="s">
        <v>78</v>
      </c>
      <c r="N6" s="16" t="s">
        <v>79</v>
      </c>
      <c r="O6" s="11" t="s">
        <v>80</v>
      </c>
      <c r="P6" s="12" t="s">
        <v>81</v>
      </c>
      <c r="Q6" s="13" t="s">
        <v>82</v>
      </c>
      <c r="R6" s="14" t="s">
        <v>56</v>
      </c>
      <c r="S6" s="2" t="s">
        <v>83</v>
      </c>
      <c r="T6" s="8" t="s">
        <v>84</v>
      </c>
      <c r="U6" s="8" t="s">
        <v>85</v>
      </c>
      <c r="V6" s="2" t="s">
        <v>86</v>
      </c>
    </row>
    <row r="7" spans="1:22" s="185" customFormat="1" ht="12.75" x14ac:dyDescent="0.2">
      <c r="A7" s="181" t="s">
        <v>92</v>
      </c>
      <c r="B7" s="182">
        <v>45017</v>
      </c>
      <c r="C7" s="181" t="s">
        <v>93</v>
      </c>
      <c r="D7" s="183">
        <v>681.05</v>
      </c>
      <c r="E7" s="184">
        <v>20</v>
      </c>
      <c r="K7" s="186"/>
      <c r="L7" s="182">
        <v>45017</v>
      </c>
      <c r="M7" s="186"/>
      <c r="N7" s="187">
        <f>+O7</f>
        <v>45017</v>
      </c>
      <c r="O7" s="182">
        <v>45017</v>
      </c>
      <c r="P7" s="188">
        <f>+L7-N7</f>
        <v>0</v>
      </c>
      <c r="Q7" s="188">
        <f>+N7-O7</f>
        <v>0</v>
      </c>
      <c r="R7" s="188">
        <f>+L7-O7</f>
        <v>0</v>
      </c>
      <c r="S7" s="188">
        <f>+R7-30</f>
        <v>-30</v>
      </c>
      <c r="T7" s="189"/>
      <c r="U7" s="189"/>
    </row>
    <row r="8" spans="1:22" s="185" customFormat="1" ht="12.75" x14ac:dyDescent="0.2">
      <c r="A8" s="181" t="s">
        <v>94</v>
      </c>
      <c r="B8" s="182">
        <v>45017</v>
      </c>
      <c r="C8" s="181" t="s">
        <v>95</v>
      </c>
      <c r="D8" s="183">
        <v>205.7</v>
      </c>
      <c r="E8" s="184">
        <v>20</v>
      </c>
      <c r="K8" s="186"/>
      <c r="L8" s="182">
        <v>45017</v>
      </c>
      <c r="M8" s="186"/>
      <c r="N8" s="187">
        <f>+O8</f>
        <v>45021</v>
      </c>
      <c r="O8" s="182">
        <v>45021</v>
      </c>
      <c r="P8" s="188">
        <f>+L8-N8</f>
        <v>-4</v>
      </c>
      <c r="Q8" s="188">
        <f>+N8-O8</f>
        <v>0</v>
      </c>
      <c r="R8" s="188">
        <f>+L8-O8</f>
        <v>-4</v>
      </c>
      <c r="S8" s="188">
        <f>+R8-30</f>
        <v>-34</v>
      </c>
      <c r="T8" s="189"/>
      <c r="U8" s="189"/>
    </row>
    <row r="9" spans="1:22" s="185" customFormat="1" ht="12.75" x14ac:dyDescent="0.2">
      <c r="A9" s="181" t="s">
        <v>96</v>
      </c>
      <c r="B9" s="182">
        <v>45017</v>
      </c>
      <c r="C9" s="181" t="s">
        <v>97</v>
      </c>
      <c r="D9" s="183">
        <v>807.51</v>
      </c>
      <c r="E9" s="184">
        <v>20</v>
      </c>
      <c r="L9" s="182">
        <v>45017</v>
      </c>
      <c r="M9" s="186"/>
      <c r="N9" s="187">
        <f>+O9</f>
        <v>45030</v>
      </c>
      <c r="O9" s="182">
        <v>45030</v>
      </c>
      <c r="P9" s="188">
        <f>+L9-N9</f>
        <v>-13</v>
      </c>
      <c r="Q9" s="188">
        <f>+N9-O9</f>
        <v>0</v>
      </c>
      <c r="R9" s="188">
        <f>+L9-O9</f>
        <v>-13</v>
      </c>
      <c r="S9" s="188">
        <f>+R9-30</f>
        <v>-43</v>
      </c>
      <c r="T9" s="189"/>
      <c r="U9" s="189"/>
    </row>
    <row r="10" spans="1:22" s="185" customFormat="1" ht="12.75" x14ac:dyDescent="0.2">
      <c r="A10" s="181" t="s">
        <v>98</v>
      </c>
      <c r="B10" s="182">
        <v>45017</v>
      </c>
      <c r="C10" s="181" t="s">
        <v>99</v>
      </c>
      <c r="D10" s="183">
        <v>61.41</v>
      </c>
      <c r="E10" s="184">
        <v>20</v>
      </c>
      <c r="L10" s="182">
        <v>45017</v>
      </c>
      <c r="M10" s="186"/>
      <c r="N10" s="187">
        <f>+O10</f>
        <v>45021</v>
      </c>
      <c r="O10" s="182">
        <v>45021</v>
      </c>
      <c r="P10" s="188">
        <f>+L10-N10</f>
        <v>-4</v>
      </c>
      <c r="Q10" s="188">
        <f>+N10-O10</f>
        <v>0</v>
      </c>
      <c r="R10" s="188">
        <f>+L10-O10</f>
        <v>-4</v>
      </c>
      <c r="S10" s="188">
        <f>+R10-30</f>
        <v>-34</v>
      </c>
      <c r="T10" s="189"/>
      <c r="U10" s="189"/>
    </row>
    <row r="11" spans="1:22" s="185" customFormat="1" ht="12.75" x14ac:dyDescent="0.2">
      <c r="A11" s="181" t="s">
        <v>100</v>
      </c>
      <c r="B11" s="182">
        <v>45029</v>
      </c>
      <c r="C11" s="181" t="s">
        <v>101</v>
      </c>
      <c r="D11" s="183">
        <v>82.75</v>
      </c>
      <c r="E11" s="184">
        <v>20</v>
      </c>
      <c r="L11" s="182">
        <v>45029</v>
      </c>
      <c r="M11" s="186"/>
      <c r="N11" s="187">
        <f>+O11</f>
        <v>45043</v>
      </c>
      <c r="O11" s="182">
        <v>45043</v>
      </c>
      <c r="P11" s="188">
        <f>+L11-N11</f>
        <v>-14</v>
      </c>
      <c r="Q11" s="188">
        <f>+N11-O11</f>
        <v>0</v>
      </c>
      <c r="R11" s="188">
        <f>+L11-O11</f>
        <v>-14</v>
      </c>
      <c r="S11" s="188">
        <f>+R11-30</f>
        <v>-44</v>
      </c>
      <c r="T11" s="189"/>
      <c r="U11" s="189"/>
    </row>
    <row r="12" spans="1:22" s="185" customFormat="1" ht="12.75" x14ac:dyDescent="0.2">
      <c r="A12" s="181" t="s">
        <v>102</v>
      </c>
      <c r="B12" s="182">
        <v>45028</v>
      </c>
      <c r="C12" s="181" t="s">
        <v>103</v>
      </c>
      <c r="D12" s="183">
        <v>404.71</v>
      </c>
      <c r="E12" s="184">
        <v>20</v>
      </c>
      <c r="L12" s="182">
        <v>45028</v>
      </c>
      <c r="M12" s="186"/>
      <c r="N12" s="187">
        <f>+O12</f>
        <v>45043</v>
      </c>
      <c r="O12" s="182">
        <v>45043</v>
      </c>
      <c r="P12" s="188">
        <f>+L12-N12</f>
        <v>-15</v>
      </c>
      <c r="Q12" s="188">
        <f>+N12-O12</f>
        <v>0</v>
      </c>
      <c r="R12" s="188">
        <f>+L12-O12</f>
        <v>-15</v>
      </c>
      <c r="S12" s="188">
        <f>+R12-30</f>
        <v>-45</v>
      </c>
      <c r="T12" s="189"/>
      <c r="U12" s="189"/>
    </row>
    <row r="13" spans="1:22" s="185" customFormat="1" ht="12.75" x14ac:dyDescent="0.2">
      <c r="A13" s="181" t="s">
        <v>104</v>
      </c>
      <c r="B13" s="182">
        <v>45047</v>
      </c>
      <c r="C13" s="181" t="s">
        <v>105</v>
      </c>
      <c r="D13" s="183">
        <v>681.05</v>
      </c>
      <c r="E13" s="184">
        <v>20</v>
      </c>
      <c r="L13" s="182">
        <v>45047</v>
      </c>
      <c r="M13" s="186"/>
      <c r="N13" s="187">
        <f>+O13</f>
        <v>45047</v>
      </c>
      <c r="O13" s="182">
        <v>45047</v>
      </c>
      <c r="P13" s="188">
        <f>+L13-N13</f>
        <v>0</v>
      </c>
      <c r="Q13" s="188">
        <f>+N13-O13</f>
        <v>0</v>
      </c>
      <c r="R13" s="188">
        <f>+L13-O13</f>
        <v>0</v>
      </c>
      <c r="S13" s="188">
        <f>+R13-30</f>
        <v>-30</v>
      </c>
      <c r="T13" s="189"/>
      <c r="U13" s="189"/>
    </row>
    <row r="14" spans="1:22" s="185" customFormat="1" ht="12.75" x14ac:dyDescent="0.2">
      <c r="A14" s="181" t="s">
        <v>106</v>
      </c>
      <c r="B14" s="182">
        <v>45047</v>
      </c>
      <c r="C14" s="181" t="s">
        <v>107</v>
      </c>
      <c r="D14" s="183">
        <v>205.7</v>
      </c>
      <c r="E14" s="184">
        <v>20</v>
      </c>
      <c r="L14" s="182">
        <v>45047</v>
      </c>
      <c r="M14" s="186"/>
      <c r="N14" s="187">
        <f>+O14</f>
        <v>45050</v>
      </c>
      <c r="O14" s="182">
        <v>45050</v>
      </c>
      <c r="P14" s="188">
        <f>+L14-N14</f>
        <v>-3</v>
      </c>
      <c r="Q14" s="188">
        <f>+N14-O14</f>
        <v>0</v>
      </c>
      <c r="R14" s="188">
        <f>+L14-O14</f>
        <v>-3</v>
      </c>
      <c r="S14" s="188">
        <f>+R14-30</f>
        <v>-33</v>
      </c>
      <c r="T14" s="189"/>
      <c r="U14" s="189"/>
    </row>
    <row r="15" spans="1:22" s="185" customFormat="1" ht="12.75" x14ac:dyDescent="0.2">
      <c r="A15" s="181" t="s">
        <v>108</v>
      </c>
      <c r="B15" s="182">
        <v>45046</v>
      </c>
      <c r="C15" s="181" t="s">
        <v>109</v>
      </c>
      <c r="D15" s="183">
        <v>1555.94</v>
      </c>
      <c r="E15" s="184">
        <v>20</v>
      </c>
      <c r="L15" s="182">
        <v>45046</v>
      </c>
      <c r="M15" s="186"/>
      <c r="N15" s="187">
        <f>+O15</f>
        <v>45043</v>
      </c>
      <c r="O15" s="182">
        <v>45043</v>
      </c>
      <c r="P15" s="188">
        <f>+L15-N15</f>
        <v>3</v>
      </c>
      <c r="Q15" s="188">
        <f>+N15-O15</f>
        <v>0</v>
      </c>
      <c r="R15" s="188">
        <f>+L15-O15</f>
        <v>3</v>
      </c>
      <c r="S15" s="188">
        <f>+R15-30</f>
        <v>-27</v>
      </c>
      <c r="T15" s="189"/>
      <c r="U15" s="189"/>
    </row>
    <row r="16" spans="1:22" s="185" customFormat="1" ht="12.75" x14ac:dyDescent="0.2">
      <c r="A16" s="181" t="s">
        <v>110</v>
      </c>
      <c r="B16" s="182">
        <v>45048</v>
      </c>
      <c r="C16" s="181" t="s">
        <v>111</v>
      </c>
      <c r="D16" s="183">
        <v>61.41</v>
      </c>
      <c r="E16" s="184">
        <v>20</v>
      </c>
      <c r="L16" s="182">
        <v>45047</v>
      </c>
      <c r="M16" s="186"/>
      <c r="N16" s="187">
        <f>+O16</f>
        <v>45051</v>
      </c>
      <c r="O16" s="182">
        <v>45051</v>
      </c>
      <c r="P16" s="188">
        <f>+L16-N16</f>
        <v>-4</v>
      </c>
      <c r="Q16" s="188">
        <f>+N16-O16</f>
        <v>0</v>
      </c>
      <c r="R16" s="188">
        <f>+L16-O16</f>
        <v>-4</v>
      </c>
      <c r="S16" s="188">
        <f>+R16-30</f>
        <v>-34</v>
      </c>
      <c r="T16" s="189"/>
      <c r="U16" s="189"/>
    </row>
    <row r="17" spans="1:21" s="185" customFormat="1" ht="12.75" x14ac:dyDescent="0.2">
      <c r="A17" s="181" t="s">
        <v>112</v>
      </c>
      <c r="B17" s="182">
        <v>45049</v>
      </c>
      <c r="C17" s="181" t="s">
        <v>113</v>
      </c>
      <c r="D17" s="183">
        <v>3759.21</v>
      </c>
      <c r="E17" s="184">
        <v>20</v>
      </c>
      <c r="L17" s="182">
        <v>45049</v>
      </c>
      <c r="M17" s="186"/>
      <c r="N17" s="187">
        <f>+O17</f>
        <v>45061</v>
      </c>
      <c r="O17" s="182">
        <v>45061</v>
      </c>
      <c r="P17" s="188">
        <f>+L17-N17</f>
        <v>-12</v>
      </c>
      <c r="Q17" s="188">
        <f>+N17-O17</f>
        <v>0</v>
      </c>
      <c r="R17" s="188">
        <f>+L17-O17</f>
        <v>-12</v>
      </c>
      <c r="S17" s="188">
        <f>+R17-30</f>
        <v>-42</v>
      </c>
      <c r="T17" s="189"/>
      <c r="U17" s="189"/>
    </row>
    <row r="18" spans="1:21" s="185" customFormat="1" ht="12.75" x14ac:dyDescent="0.2">
      <c r="A18" s="181" t="s">
        <v>114</v>
      </c>
      <c r="B18" s="182">
        <v>45048</v>
      </c>
      <c r="C18" s="181" t="s">
        <v>115</v>
      </c>
      <c r="D18" s="183">
        <v>4717.4399999999996</v>
      </c>
      <c r="E18" s="184">
        <v>20</v>
      </c>
      <c r="L18" s="182">
        <v>45048</v>
      </c>
      <c r="M18" s="186"/>
      <c r="N18" s="187">
        <f>+O18</f>
        <v>45061</v>
      </c>
      <c r="O18" s="182">
        <v>45061</v>
      </c>
      <c r="P18" s="188">
        <f>+L18-N18</f>
        <v>-13</v>
      </c>
      <c r="Q18" s="188">
        <f>+N18-O18</f>
        <v>0</v>
      </c>
      <c r="R18" s="188">
        <f>+L18-O18</f>
        <v>-13</v>
      </c>
      <c r="S18" s="188">
        <f>+R18-30</f>
        <v>-43</v>
      </c>
      <c r="T18" s="189"/>
      <c r="U18" s="189"/>
    </row>
    <row r="19" spans="1:21" s="185" customFormat="1" ht="12.75" x14ac:dyDescent="0.2">
      <c r="A19" s="181" t="s">
        <v>116</v>
      </c>
      <c r="B19" s="182">
        <v>45047</v>
      </c>
      <c r="C19" s="181" t="s">
        <v>117</v>
      </c>
      <c r="D19" s="183">
        <v>834.14</v>
      </c>
      <c r="E19" s="184">
        <v>20</v>
      </c>
      <c r="L19" s="182">
        <v>45047</v>
      </c>
      <c r="M19" s="186"/>
      <c r="N19" s="187">
        <f>+O19</f>
        <v>45061</v>
      </c>
      <c r="O19" s="182">
        <v>45061</v>
      </c>
      <c r="P19" s="188">
        <f>+L19-N19</f>
        <v>-14</v>
      </c>
      <c r="Q19" s="188">
        <f>+N19-O19</f>
        <v>0</v>
      </c>
      <c r="R19" s="188">
        <f>+L19-O19</f>
        <v>-14</v>
      </c>
      <c r="S19" s="188">
        <f>+R19-30</f>
        <v>-44</v>
      </c>
      <c r="T19" s="189"/>
      <c r="U19" s="189"/>
    </row>
    <row r="20" spans="1:21" s="185" customFormat="1" ht="12.75" x14ac:dyDescent="0.2">
      <c r="A20" s="181" t="s">
        <v>118</v>
      </c>
      <c r="B20" s="182">
        <v>45049</v>
      </c>
      <c r="C20" s="181" t="s">
        <v>119</v>
      </c>
      <c r="D20" s="183">
        <v>2391.12</v>
      </c>
      <c r="E20" s="184">
        <v>20</v>
      </c>
      <c r="L20" s="182">
        <v>45049</v>
      </c>
      <c r="M20" s="186"/>
      <c r="N20" s="187">
        <f>+O20</f>
        <v>45061</v>
      </c>
      <c r="O20" s="182">
        <v>45061</v>
      </c>
      <c r="P20" s="188">
        <f>+L20-N20</f>
        <v>-12</v>
      </c>
      <c r="Q20" s="188">
        <f>+N20-O20</f>
        <v>0</v>
      </c>
      <c r="R20" s="188">
        <f>+L20-O20</f>
        <v>-12</v>
      </c>
      <c r="S20" s="188">
        <f>+R20-30</f>
        <v>-42</v>
      </c>
      <c r="T20" s="189"/>
      <c r="U20" s="189"/>
    </row>
    <row r="21" spans="1:21" s="185" customFormat="1" ht="12.75" x14ac:dyDescent="0.2">
      <c r="A21" s="181" t="s">
        <v>120</v>
      </c>
      <c r="B21" s="182">
        <v>45078</v>
      </c>
      <c r="C21" s="181" t="s">
        <v>115</v>
      </c>
      <c r="D21" s="183">
        <v>681.05</v>
      </c>
      <c r="E21" s="184">
        <v>20</v>
      </c>
      <c r="L21" s="182">
        <v>45078</v>
      </c>
      <c r="M21" s="186"/>
      <c r="N21" s="187">
        <f>+O21</f>
        <v>45078</v>
      </c>
      <c r="O21" s="182">
        <v>45078</v>
      </c>
      <c r="P21" s="188">
        <f>+L21-N21</f>
        <v>0</v>
      </c>
      <c r="Q21" s="188">
        <f>+N21-O21</f>
        <v>0</v>
      </c>
      <c r="R21" s="188">
        <f>+L21-O21</f>
        <v>0</v>
      </c>
      <c r="S21" s="188">
        <f>+R21-30</f>
        <v>-30</v>
      </c>
      <c r="T21" s="189"/>
      <c r="U21" s="189"/>
    </row>
    <row r="22" spans="1:21" s="185" customFormat="1" ht="12.75" x14ac:dyDescent="0.2">
      <c r="A22" s="181" t="s">
        <v>121</v>
      </c>
      <c r="B22" s="182">
        <v>45077</v>
      </c>
      <c r="C22" s="181" t="s">
        <v>122</v>
      </c>
      <c r="D22" s="183">
        <v>1555.94</v>
      </c>
      <c r="E22" s="184">
        <v>20</v>
      </c>
      <c r="L22" s="182">
        <v>45077</v>
      </c>
      <c r="M22" s="186"/>
      <c r="N22" s="187">
        <f>+O22</f>
        <v>45076</v>
      </c>
      <c r="O22" s="182">
        <v>45076</v>
      </c>
      <c r="P22" s="188">
        <f>+L22-N22</f>
        <v>1</v>
      </c>
      <c r="Q22" s="188">
        <f>+N22-O22</f>
        <v>0</v>
      </c>
      <c r="R22" s="188">
        <f>+L22-O22</f>
        <v>1</v>
      </c>
      <c r="S22" s="188">
        <f>+R22-30</f>
        <v>-29</v>
      </c>
      <c r="T22" s="189"/>
      <c r="U22" s="189"/>
    </row>
    <row r="23" spans="1:21" s="185" customFormat="1" ht="12.75" x14ac:dyDescent="0.2">
      <c r="A23" s="181" t="s">
        <v>123</v>
      </c>
      <c r="B23" s="182">
        <v>45078</v>
      </c>
      <c r="C23" s="181" t="s">
        <v>124</v>
      </c>
      <c r="D23" s="183">
        <v>333.85</v>
      </c>
      <c r="E23" s="184">
        <v>20</v>
      </c>
      <c r="L23" s="182">
        <v>45078</v>
      </c>
      <c r="M23" s="186"/>
      <c r="N23" s="187">
        <f>+O23</f>
        <v>45092</v>
      </c>
      <c r="O23" s="182">
        <v>45092</v>
      </c>
      <c r="P23" s="188">
        <f>+L23-N23</f>
        <v>-14</v>
      </c>
      <c r="Q23" s="188">
        <f>+N23-O23</f>
        <v>0</v>
      </c>
      <c r="R23" s="188">
        <f>+L23-O23</f>
        <v>-14</v>
      </c>
      <c r="S23" s="188">
        <f>+R23-30</f>
        <v>-44</v>
      </c>
      <c r="T23" s="189"/>
      <c r="U23" s="189"/>
    </row>
    <row r="24" spans="1:21" s="185" customFormat="1" ht="12.75" x14ac:dyDescent="0.2">
      <c r="A24" s="181" t="s">
        <v>125</v>
      </c>
      <c r="B24" s="182">
        <v>45078</v>
      </c>
      <c r="C24" s="181" t="s">
        <v>126</v>
      </c>
      <c r="D24" s="183">
        <v>834.15</v>
      </c>
      <c r="E24" s="184">
        <v>20</v>
      </c>
      <c r="L24" s="182">
        <v>45078</v>
      </c>
      <c r="M24" s="186"/>
      <c r="N24" s="187">
        <f>+O24</f>
        <v>45091</v>
      </c>
      <c r="O24" s="182">
        <v>45091</v>
      </c>
      <c r="P24" s="188">
        <f>+L24-N24</f>
        <v>-13</v>
      </c>
      <c r="Q24" s="188">
        <f>+N24-O24</f>
        <v>0</v>
      </c>
      <c r="R24" s="188">
        <f>+L24-O24</f>
        <v>-13</v>
      </c>
      <c r="S24" s="188">
        <f>+R24-30</f>
        <v>-43</v>
      </c>
      <c r="T24" s="189"/>
      <c r="U24" s="189"/>
    </row>
    <row r="25" spans="1:21" s="194" customFormat="1" ht="12.75" x14ac:dyDescent="0.2">
      <c r="A25" s="190" t="s">
        <v>127</v>
      </c>
      <c r="B25" s="191">
        <v>45020</v>
      </c>
      <c r="C25" s="190" t="s">
        <v>128</v>
      </c>
      <c r="D25" s="192">
        <v>334.07</v>
      </c>
      <c r="E25" s="193">
        <v>29</v>
      </c>
      <c r="K25" s="195"/>
      <c r="L25" s="191">
        <v>45020</v>
      </c>
      <c r="M25" s="195"/>
      <c r="N25" s="196">
        <f>+O25</f>
        <v>45041</v>
      </c>
      <c r="O25" s="191">
        <v>45041</v>
      </c>
      <c r="P25" s="197">
        <f>+L25-N25</f>
        <v>-21</v>
      </c>
      <c r="Q25" s="197">
        <f>+N25-O25</f>
        <v>0</v>
      </c>
      <c r="R25" s="197">
        <f>+L25-O25</f>
        <v>-21</v>
      </c>
      <c r="S25" s="197">
        <f>+R25-30</f>
        <v>-51</v>
      </c>
      <c r="T25" s="198"/>
      <c r="U25" s="198"/>
    </row>
    <row r="26" spans="1:21" s="194" customFormat="1" ht="12.75" x14ac:dyDescent="0.2">
      <c r="A26" s="190" t="s">
        <v>129</v>
      </c>
      <c r="B26" s="191">
        <v>45020</v>
      </c>
      <c r="C26" s="190" t="s">
        <v>130</v>
      </c>
      <c r="D26" s="192">
        <v>334.07</v>
      </c>
      <c r="E26" s="193">
        <v>29</v>
      </c>
      <c r="K26" s="195"/>
      <c r="L26" s="191">
        <v>45020</v>
      </c>
      <c r="M26" s="195"/>
      <c r="N26" s="196">
        <f>+O26</f>
        <v>45041</v>
      </c>
      <c r="O26" s="191">
        <v>45041</v>
      </c>
      <c r="P26" s="197">
        <f>+L26-N26</f>
        <v>-21</v>
      </c>
      <c r="Q26" s="197">
        <f>+N26-O26</f>
        <v>0</v>
      </c>
      <c r="R26" s="197">
        <f>+L26-O26</f>
        <v>-21</v>
      </c>
      <c r="S26" s="197">
        <f>+R26-30</f>
        <v>-51</v>
      </c>
      <c r="T26" s="198"/>
      <c r="U26" s="198"/>
    </row>
    <row r="27" spans="1:21" s="194" customFormat="1" ht="12.75" x14ac:dyDescent="0.2">
      <c r="A27" s="190" t="s">
        <v>131</v>
      </c>
      <c r="B27" s="191">
        <v>45019</v>
      </c>
      <c r="C27" s="190" t="s">
        <v>132</v>
      </c>
      <c r="D27" s="192">
        <v>948.64</v>
      </c>
      <c r="E27" s="193">
        <v>29</v>
      </c>
      <c r="K27" s="195"/>
      <c r="L27" s="191">
        <v>45019</v>
      </c>
      <c r="M27" s="195"/>
      <c r="N27" s="196">
        <f>+O27</f>
        <v>45030</v>
      </c>
      <c r="O27" s="191">
        <v>45030</v>
      </c>
      <c r="P27" s="197">
        <f>+L27-N27</f>
        <v>-11</v>
      </c>
      <c r="Q27" s="197">
        <f>+N27-O27</f>
        <v>0</v>
      </c>
      <c r="R27" s="197">
        <f>+L27-O27</f>
        <v>-11</v>
      </c>
      <c r="S27" s="197">
        <f>+R27-30</f>
        <v>-41</v>
      </c>
      <c r="T27" s="198"/>
      <c r="U27" s="198"/>
    </row>
    <row r="28" spans="1:21" s="194" customFormat="1" ht="12.75" x14ac:dyDescent="0.2">
      <c r="A28" s="190" t="s">
        <v>133</v>
      </c>
      <c r="B28" s="191">
        <v>45019</v>
      </c>
      <c r="C28" s="190" t="s">
        <v>134</v>
      </c>
      <c r="D28" s="192">
        <v>1851.3</v>
      </c>
      <c r="E28" s="193">
        <v>29</v>
      </c>
      <c r="L28" s="191">
        <v>45019</v>
      </c>
      <c r="M28" s="195"/>
      <c r="N28" s="196">
        <f>+O28</f>
        <v>45030</v>
      </c>
      <c r="O28" s="191">
        <v>45030</v>
      </c>
      <c r="P28" s="197">
        <f>+L28-N28</f>
        <v>-11</v>
      </c>
      <c r="Q28" s="197">
        <f>+N28-O28</f>
        <v>0</v>
      </c>
      <c r="R28" s="197">
        <f>+L28-O28</f>
        <v>-11</v>
      </c>
      <c r="S28" s="197">
        <f>+R28-30</f>
        <v>-41</v>
      </c>
      <c r="T28" s="198"/>
      <c r="U28" s="198"/>
    </row>
    <row r="29" spans="1:21" s="194" customFormat="1" ht="12.75" x14ac:dyDescent="0.2">
      <c r="A29" s="190" t="s">
        <v>135</v>
      </c>
      <c r="B29" s="191">
        <v>45017</v>
      </c>
      <c r="C29" s="190" t="s">
        <v>136</v>
      </c>
      <c r="D29" s="192">
        <v>3.84</v>
      </c>
      <c r="E29" s="193">
        <v>29</v>
      </c>
      <c r="L29" s="191">
        <v>45017</v>
      </c>
      <c r="M29" s="195"/>
      <c r="N29" s="196">
        <f>+O29</f>
        <v>45019</v>
      </c>
      <c r="O29" s="191">
        <v>45019</v>
      </c>
      <c r="P29" s="197">
        <f>+L29-N29</f>
        <v>-2</v>
      </c>
      <c r="Q29" s="197">
        <f>+N29-O29</f>
        <v>0</v>
      </c>
      <c r="R29" s="197">
        <f>+L29-O29</f>
        <v>-2</v>
      </c>
      <c r="S29" s="197">
        <f>+R29-30</f>
        <v>-32</v>
      </c>
      <c r="T29" s="198"/>
      <c r="U29" s="198"/>
    </row>
    <row r="30" spans="1:21" s="194" customFormat="1" ht="12.75" x14ac:dyDescent="0.2">
      <c r="A30" s="190" t="s">
        <v>137</v>
      </c>
      <c r="B30" s="191">
        <v>45017</v>
      </c>
      <c r="C30" s="190" t="s">
        <v>138</v>
      </c>
      <c r="D30" s="192">
        <v>137.34</v>
      </c>
      <c r="E30" s="193">
        <v>29</v>
      </c>
      <c r="L30" s="191">
        <v>45017</v>
      </c>
      <c r="M30" s="195"/>
      <c r="N30" s="196">
        <f>+O30</f>
        <v>45017</v>
      </c>
      <c r="O30" s="191">
        <v>45017</v>
      </c>
      <c r="P30" s="197">
        <f>+L30-N30</f>
        <v>0</v>
      </c>
      <c r="Q30" s="197">
        <f>+N30-O30</f>
        <v>0</v>
      </c>
      <c r="R30" s="197">
        <f>+L30-O30</f>
        <v>0</v>
      </c>
      <c r="S30" s="197">
        <f>+R30-30</f>
        <v>-30</v>
      </c>
      <c r="T30" s="198"/>
      <c r="U30" s="198"/>
    </row>
    <row r="31" spans="1:21" s="194" customFormat="1" ht="12.75" x14ac:dyDescent="0.2">
      <c r="A31" s="190" t="s">
        <v>139</v>
      </c>
      <c r="B31" s="191">
        <v>45031</v>
      </c>
      <c r="C31" s="190" t="s">
        <v>140</v>
      </c>
      <c r="D31" s="192">
        <v>45.2</v>
      </c>
      <c r="E31" s="193">
        <v>29</v>
      </c>
      <c r="L31" s="191">
        <v>45031</v>
      </c>
      <c r="M31" s="195"/>
      <c r="N31" s="196">
        <f>+O31</f>
        <v>45064</v>
      </c>
      <c r="O31" s="191">
        <v>45064</v>
      </c>
      <c r="P31" s="197">
        <f>+L31-N31</f>
        <v>-33</v>
      </c>
      <c r="Q31" s="197">
        <f>+N31-O31</f>
        <v>0</v>
      </c>
      <c r="R31" s="197">
        <f>+L31-O31</f>
        <v>-33</v>
      </c>
      <c r="S31" s="197">
        <f>+R31-30</f>
        <v>-63</v>
      </c>
      <c r="T31" s="198"/>
      <c r="U31" s="198"/>
    </row>
    <row r="32" spans="1:21" s="194" customFormat="1" ht="12.75" x14ac:dyDescent="0.2">
      <c r="A32" s="190" t="s">
        <v>141</v>
      </c>
      <c r="B32" s="191">
        <v>45031</v>
      </c>
      <c r="C32" s="190" t="s">
        <v>142</v>
      </c>
      <c r="D32" s="192">
        <v>94.5</v>
      </c>
      <c r="E32" s="193">
        <v>29</v>
      </c>
      <c r="L32" s="191">
        <v>45031</v>
      </c>
      <c r="M32" s="195"/>
      <c r="N32" s="196">
        <f>+O32</f>
        <v>45034</v>
      </c>
      <c r="O32" s="191">
        <v>45034</v>
      </c>
      <c r="P32" s="197">
        <f>+L32-N32</f>
        <v>-3</v>
      </c>
      <c r="Q32" s="197">
        <f>+N32-O32</f>
        <v>0</v>
      </c>
      <c r="R32" s="197">
        <f>+L32-O32</f>
        <v>-3</v>
      </c>
      <c r="S32" s="197">
        <f>+R32-30</f>
        <v>-33</v>
      </c>
      <c r="T32" s="198"/>
      <c r="U32" s="198"/>
    </row>
    <row r="33" spans="1:21" s="194" customFormat="1" ht="12.75" x14ac:dyDescent="0.2">
      <c r="A33" s="190" t="s">
        <v>143</v>
      </c>
      <c r="B33" s="191">
        <v>45024</v>
      </c>
      <c r="C33" s="190" t="s">
        <v>144</v>
      </c>
      <c r="D33" s="192">
        <v>17</v>
      </c>
      <c r="E33" s="193">
        <v>29</v>
      </c>
      <c r="L33" s="191">
        <v>45024</v>
      </c>
      <c r="M33" s="195"/>
      <c r="N33" s="196">
        <f>+O33</f>
        <v>45047</v>
      </c>
      <c r="O33" s="191">
        <v>45047</v>
      </c>
      <c r="P33" s="197">
        <f>+L33-N33</f>
        <v>-23</v>
      </c>
      <c r="Q33" s="197">
        <f>+N33-O33</f>
        <v>0</v>
      </c>
      <c r="R33" s="197">
        <f>+L33-O33</f>
        <v>-23</v>
      </c>
      <c r="S33" s="197">
        <f>+R33-30</f>
        <v>-53</v>
      </c>
      <c r="T33" s="198"/>
      <c r="U33" s="198"/>
    </row>
    <row r="34" spans="1:21" s="194" customFormat="1" ht="12.75" x14ac:dyDescent="0.2">
      <c r="A34" s="190" t="s">
        <v>145</v>
      </c>
      <c r="B34" s="191">
        <v>45028</v>
      </c>
      <c r="C34" s="190" t="s">
        <v>146</v>
      </c>
      <c r="D34" s="192">
        <v>3163.44</v>
      </c>
      <c r="E34" s="193">
        <v>29</v>
      </c>
      <c r="L34" s="191">
        <v>45028</v>
      </c>
      <c r="M34" s="195"/>
      <c r="N34" s="196">
        <f>+O34</f>
        <v>45028</v>
      </c>
      <c r="O34" s="191">
        <v>45028</v>
      </c>
      <c r="P34" s="197">
        <f>+L34-N34</f>
        <v>0</v>
      </c>
      <c r="Q34" s="197">
        <f>+N34-O34</f>
        <v>0</v>
      </c>
      <c r="R34" s="197">
        <f>+L34-O34</f>
        <v>0</v>
      </c>
      <c r="S34" s="197">
        <f>+R34-30</f>
        <v>-30</v>
      </c>
      <c r="T34" s="198"/>
      <c r="U34" s="198"/>
    </row>
    <row r="35" spans="1:21" s="194" customFormat="1" ht="12.75" x14ac:dyDescent="0.2">
      <c r="A35" s="190" t="s">
        <v>147</v>
      </c>
      <c r="B35" s="191">
        <v>45037</v>
      </c>
      <c r="C35" s="190" t="s">
        <v>148</v>
      </c>
      <c r="D35" s="192">
        <v>55.16</v>
      </c>
      <c r="E35" s="193">
        <v>29</v>
      </c>
      <c r="L35" s="191">
        <v>45037</v>
      </c>
      <c r="M35" s="195"/>
      <c r="N35" s="196">
        <f>+O35</f>
        <v>45043</v>
      </c>
      <c r="O35" s="191">
        <v>45043</v>
      </c>
      <c r="P35" s="197">
        <f>+L35-N35</f>
        <v>-6</v>
      </c>
      <c r="Q35" s="197">
        <f>+N35-O35</f>
        <v>0</v>
      </c>
      <c r="R35" s="197">
        <f>+L35-O35</f>
        <v>-6</v>
      </c>
      <c r="S35" s="197">
        <f>+R35-30</f>
        <v>-36</v>
      </c>
      <c r="T35" s="198"/>
      <c r="U35" s="198"/>
    </row>
    <row r="36" spans="1:21" s="194" customFormat="1" ht="12.75" x14ac:dyDescent="0.2">
      <c r="A36" s="190" t="s">
        <v>149</v>
      </c>
      <c r="B36" s="191">
        <v>45036</v>
      </c>
      <c r="C36" s="190" t="s">
        <v>150</v>
      </c>
      <c r="D36" s="192">
        <v>1000</v>
      </c>
      <c r="E36" s="193">
        <v>29</v>
      </c>
      <c r="L36" s="191">
        <v>45036</v>
      </c>
      <c r="M36" s="195"/>
      <c r="N36" s="196">
        <f>+O36</f>
        <v>45043</v>
      </c>
      <c r="O36" s="191">
        <v>45043</v>
      </c>
      <c r="P36" s="197">
        <f>+L36-N36</f>
        <v>-7</v>
      </c>
      <c r="Q36" s="197">
        <f>+N36-O36</f>
        <v>0</v>
      </c>
      <c r="R36" s="197">
        <f>+L36-O36</f>
        <v>-7</v>
      </c>
      <c r="S36" s="197">
        <f>+R36-30</f>
        <v>-37</v>
      </c>
      <c r="T36" s="198"/>
      <c r="U36" s="198"/>
    </row>
    <row r="37" spans="1:21" s="194" customFormat="1" ht="12.75" x14ac:dyDescent="0.2">
      <c r="A37" s="190" t="s">
        <v>151</v>
      </c>
      <c r="B37" s="191">
        <v>45039</v>
      </c>
      <c r="C37" s="190" t="s">
        <v>152</v>
      </c>
      <c r="D37" s="192">
        <v>350.16</v>
      </c>
      <c r="E37" s="193">
        <v>29</v>
      </c>
      <c r="L37" s="191">
        <v>45039</v>
      </c>
      <c r="M37" s="195"/>
      <c r="N37" s="196">
        <f>+O37</f>
        <v>45039</v>
      </c>
      <c r="O37" s="191">
        <v>45039</v>
      </c>
      <c r="P37" s="197">
        <f>+L37-N37</f>
        <v>0</v>
      </c>
      <c r="Q37" s="197">
        <f>+N37-O37</f>
        <v>0</v>
      </c>
      <c r="R37" s="197">
        <f>+L37-O37</f>
        <v>0</v>
      </c>
      <c r="S37" s="197">
        <f>+R37-30</f>
        <v>-30</v>
      </c>
      <c r="T37" s="198"/>
      <c r="U37" s="198"/>
    </row>
    <row r="38" spans="1:21" s="194" customFormat="1" ht="12.75" x14ac:dyDescent="0.2">
      <c r="A38" s="190" t="s">
        <v>153</v>
      </c>
      <c r="B38" s="191">
        <v>45041</v>
      </c>
      <c r="C38" s="190" t="s">
        <v>154</v>
      </c>
      <c r="D38" s="192">
        <v>2904</v>
      </c>
      <c r="E38" s="193">
        <v>29</v>
      </c>
      <c r="L38" s="191">
        <v>45041</v>
      </c>
      <c r="M38" s="195"/>
      <c r="N38" s="196">
        <f>+O38</f>
        <v>45043</v>
      </c>
      <c r="O38" s="191">
        <v>45043</v>
      </c>
      <c r="P38" s="197">
        <f>+L38-N38</f>
        <v>-2</v>
      </c>
      <c r="Q38" s="197">
        <f>+N38-O38</f>
        <v>0</v>
      </c>
      <c r="R38" s="197">
        <f>+L38-O38</f>
        <v>-2</v>
      </c>
      <c r="S38" s="197">
        <f>+R38-30</f>
        <v>-32</v>
      </c>
      <c r="T38" s="198"/>
      <c r="U38" s="198"/>
    </row>
    <row r="39" spans="1:21" s="194" customFormat="1" ht="12.75" x14ac:dyDescent="0.2">
      <c r="A39" s="190" t="s">
        <v>155</v>
      </c>
      <c r="B39" s="191">
        <v>45041</v>
      </c>
      <c r="C39" s="190" t="s">
        <v>156</v>
      </c>
      <c r="D39" s="192">
        <v>544.5</v>
      </c>
      <c r="E39" s="193">
        <v>29</v>
      </c>
      <c r="L39" s="191">
        <v>45041</v>
      </c>
      <c r="M39" s="195"/>
      <c r="N39" s="196">
        <f>+O39</f>
        <v>45043</v>
      </c>
      <c r="O39" s="191">
        <v>45043</v>
      </c>
      <c r="P39" s="197">
        <f>+L39-N39</f>
        <v>-2</v>
      </c>
      <c r="Q39" s="197">
        <f>+N39-O39</f>
        <v>0</v>
      </c>
      <c r="R39" s="197">
        <f>+L39-O39</f>
        <v>-2</v>
      </c>
      <c r="S39" s="197">
        <f>+R39-30</f>
        <v>-32</v>
      </c>
      <c r="T39" s="198"/>
      <c r="U39" s="198"/>
    </row>
    <row r="40" spans="1:21" s="194" customFormat="1" ht="12.75" x14ac:dyDescent="0.2">
      <c r="A40" s="190" t="s">
        <v>157</v>
      </c>
      <c r="B40" s="191">
        <v>45041</v>
      </c>
      <c r="C40" s="190" t="s">
        <v>158</v>
      </c>
      <c r="D40" s="192">
        <v>1500.4</v>
      </c>
      <c r="E40" s="193">
        <v>29</v>
      </c>
      <c r="L40" s="191">
        <v>45041</v>
      </c>
      <c r="M40" s="195"/>
      <c r="N40" s="196">
        <f>+O40</f>
        <v>45043</v>
      </c>
      <c r="O40" s="191">
        <v>45043</v>
      </c>
      <c r="P40" s="197">
        <f>+L40-N40</f>
        <v>-2</v>
      </c>
      <c r="Q40" s="197">
        <f>+N40-O40</f>
        <v>0</v>
      </c>
      <c r="R40" s="197">
        <f>+L40-O40</f>
        <v>-2</v>
      </c>
      <c r="S40" s="197">
        <f>+R40-30</f>
        <v>-32</v>
      </c>
      <c r="T40" s="198"/>
      <c r="U40" s="198"/>
    </row>
    <row r="41" spans="1:21" s="194" customFormat="1" ht="12.75" x14ac:dyDescent="0.2">
      <c r="A41" s="190" t="s">
        <v>159</v>
      </c>
      <c r="B41" s="191">
        <v>45023</v>
      </c>
      <c r="C41" s="190" t="s">
        <v>160</v>
      </c>
      <c r="D41" s="192">
        <v>13.73</v>
      </c>
      <c r="E41" s="193">
        <v>29</v>
      </c>
      <c r="L41" s="191">
        <v>45023</v>
      </c>
      <c r="M41" s="195"/>
      <c r="N41" s="196">
        <f>+O41</f>
        <v>45043</v>
      </c>
      <c r="O41" s="191">
        <v>45043</v>
      </c>
      <c r="P41" s="197">
        <f>+L41-N41</f>
        <v>-20</v>
      </c>
      <c r="Q41" s="197">
        <f>+N41-O41</f>
        <v>0</v>
      </c>
      <c r="R41" s="197">
        <f>+L41-O41</f>
        <v>-20</v>
      </c>
      <c r="S41" s="197">
        <f>+R41-30</f>
        <v>-50</v>
      </c>
      <c r="T41" s="198"/>
      <c r="U41" s="198"/>
    </row>
    <row r="42" spans="1:21" s="194" customFormat="1" ht="12.75" x14ac:dyDescent="0.2">
      <c r="A42" s="190" t="s">
        <v>161</v>
      </c>
      <c r="B42" s="191">
        <v>45036</v>
      </c>
      <c r="C42" s="190" t="s">
        <v>162</v>
      </c>
      <c r="D42" s="192">
        <v>20.02</v>
      </c>
      <c r="E42" s="193">
        <v>29</v>
      </c>
      <c r="L42" s="191">
        <v>45036</v>
      </c>
      <c r="M42" s="195"/>
      <c r="N42" s="196">
        <f>+O42</f>
        <v>45043</v>
      </c>
      <c r="O42" s="191">
        <v>45043</v>
      </c>
      <c r="P42" s="197">
        <f>+L42-N42</f>
        <v>-7</v>
      </c>
      <c r="Q42" s="197">
        <f>+N42-O42</f>
        <v>0</v>
      </c>
      <c r="R42" s="197">
        <f>+L42-O42</f>
        <v>-7</v>
      </c>
      <c r="S42" s="197">
        <f>+R42-30</f>
        <v>-37</v>
      </c>
      <c r="T42" s="198"/>
      <c r="U42" s="198"/>
    </row>
    <row r="43" spans="1:21" s="194" customFormat="1" ht="12.75" x14ac:dyDescent="0.2">
      <c r="A43" s="190" t="s">
        <v>163</v>
      </c>
      <c r="B43" s="191">
        <v>45039</v>
      </c>
      <c r="C43" s="190" t="s">
        <v>164</v>
      </c>
      <c r="D43" s="192">
        <v>1254</v>
      </c>
      <c r="E43" s="193">
        <v>29</v>
      </c>
      <c r="L43" s="191">
        <v>45039</v>
      </c>
      <c r="M43" s="195"/>
      <c r="N43" s="196">
        <f>+O43</f>
        <v>45043</v>
      </c>
      <c r="O43" s="191">
        <v>45043</v>
      </c>
      <c r="P43" s="197">
        <f>+L43-N43</f>
        <v>-4</v>
      </c>
      <c r="Q43" s="197">
        <f>+N43-O43</f>
        <v>0</v>
      </c>
      <c r="R43" s="197">
        <f>+L43-O43</f>
        <v>-4</v>
      </c>
      <c r="S43" s="197">
        <f>+R43-30</f>
        <v>-34</v>
      </c>
      <c r="T43" s="198"/>
      <c r="U43" s="198"/>
    </row>
    <row r="44" spans="1:21" s="194" customFormat="1" ht="12.75" x14ac:dyDescent="0.2">
      <c r="A44" s="190" t="s">
        <v>165</v>
      </c>
      <c r="B44" s="191">
        <v>45043</v>
      </c>
      <c r="C44" s="190" t="s">
        <v>166</v>
      </c>
      <c r="D44" s="192">
        <v>338.8</v>
      </c>
      <c r="E44" s="193">
        <v>29</v>
      </c>
      <c r="L44" s="191">
        <v>45043</v>
      </c>
      <c r="M44" s="195"/>
      <c r="N44" s="196">
        <f>+O44</f>
        <v>45043</v>
      </c>
      <c r="O44" s="191">
        <v>45043</v>
      </c>
      <c r="P44" s="197">
        <f>+L44-N44</f>
        <v>0</v>
      </c>
      <c r="Q44" s="197">
        <f>+N44-O44</f>
        <v>0</v>
      </c>
      <c r="R44" s="197">
        <f>+L44-O44</f>
        <v>0</v>
      </c>
      <c r="S44" s="197">
        <f>+R44-30</f>
        <v>-30</v>
      </c>
      <c r="T44" s="198"/>
      <c r="U44" s="198"/>
    </row>
    <row r="45" spans="1:21" s="194" customFormat="1" ht="12.75" x14ac:dyDescent="0.2">
      <c r="A45" s="190" t="s">
        <v>167</v>
      </c>
      <c r="B45" s="191">
        <v>45047</v>
      </c>
      <c r="C45" s="190" t="s">
        <v>168</v>
      </c>
      <c r="D45" s="192">
        <v>143.83000000000001</v>
      </c>
      <c r="E45" s="193">
        <v>29</v>
      </c>
      <c r="L45" s="191">
        <v>45047</v>
      </c>
      <c r="M45" s="195"/>
      <c r="N45" s="196">
        <f>+O45</f>
        <v>45049</v>
      </c>
      <c r="O45" s="191">
        <v>45049</v>
      </c>
      <c r="P45" s="197">
        <f>+L45-N45</f>
        <v>-2</v>
      </c>
      <c r="Q45" s="197">
        <f>+N45-O45</f>
        <v>0</v>
      </c>
      <c r="R45" s="197">
        <f>+L45-O45</f>
        <v>-2</v>
      </c>
      <c r="S45" s="197">
        <f>+R45-30</f>
        <v>-32</v>
      </c>
      <c r="T45" s="198"/>
      <c r="U45" s="198"/>
    </row>
    <row r="46" spans="1:21" s="194" customFormat="1" ht="12.75" x14ac:dyDescent="0.2">
      <c r="A46" s="190" t="s">
        <v>169</v>
      </c>
      <c r="B46" s="191">
        <v>45044</v>
      </c>
      <c r="C46" s="190" t="s">
        <v>170</v>
      </c>
      <c r="D46" s="192">
        <v>1108.17</v>
      </c>
      <c r="E46" s="193">
        <v>29</v>
      </c>
      <c r="L46" s="191">
        <v>45044</v>
      </c>
      <c r="M46" s="195"/>
      <c r="N46" s="196">
        <f>+O46</f>
        <v>45048</v>
      </c>
      <c r="O46" s="191">
        <v>45048</v>
      </c>
      <c r="P46" s="197">
        <f>+L46-N46</f>
        <v>-4</v>
      </c>
      <c r="Q46" s="197">
        <f>+N46-O46</f>
        <v>0</v>
      </c>
      <c r="R46" s="197">
        <f>+L46-O46</f>
        <v>-4</v>
      </c>
      <c r="S46" s="197">
        <f>+R46-30</f>
        <v>-34</v>
      </c>
      <c r="T46" s="198"/>
      <c r="U46" s="198"/>
    </row>
    <row r="47" spans="1:21" s="194" customFormat="1" ht="12.75" x14ac:dyDescent="0.2">
      <c r="A47" s="190" t="s">
        <v>171</v>
      </c>
      <c r="B47" s="191">
        <v>45044</v>
      </c>
      <c r="C47" s="190" t="s">
        <v>172</v>
      </c>
      <c r="D47" s="192">
        <v>1464.06</v>
      </c>
      <c r="E47" s="193">
        <v>29</v>
      </c>
      <c r="L47" s="191">
        <v>45044</v>
      </c>
      <c r="M47" s="195"/>
      <c r="N47" s="196">
        <f>+O47</f>
        <v>45048</v>
      </c>
      <c r="O47" s="191">
        <v>45048</v>
      </c>
      <c r="P47" s="197">
        <f>+L47-N47</f>
        <v>-4</v>
      </c>
      <c r="Q47" s="197">
        <f>+N47-O47</f>
        <v>0</v>
      </c>
      <c r="R47" s="197">
        <f>+L47-O47</f>
        <v>-4</v>
      </c>
      <c r="S47" s="197">
        <f>+R47-30</f>
        <v>-34</v>
      </c>
      <c r="T47" s="198"/>
      <c r="U47" s="198"/>
    </row>
    <row r="48" spans="1:21" s="194" customFormat="1" ht="12.75" x14ac:dyDescent="0.2">
      <c r="A48" s="190" t="s">
        <v>173</v>
      </c>
      <c r="B48" s="191">
        <v>45048</v>
      </c>
      <c r="C48" s="190" t="s">
        <v>174</v>
      </c>
      <c r="D48" s="192">
        <v>7199.5</v>
      </c>
      <c r="E48" s="193">
        <v>29</v>
      </c>
      <c r="L48" s="191">
        <v>45048</v>
      </c>
      <c r="M48" s="195"/>
      <c r="N48" s="196">
        <f>+O48</f>
        <v>45061</v>
      </c>
      <c r="O48" s="191">
        <v>45061</v>
      </c>
      <c r="P48" s="197">
        <f>+L48-N48</f>
        <v>-13</v>
      </c>
      <c r="Q48" s="197">
        <f>+N48-O48</f>
        <v>0</v>
      </c>
      <c r="R48" s="197">
        <f>+L48-O48</f>
        <v>-13</v>
      </c>
      <c r="S48" s="197">
        <f>+R48-30</f>
        <v>-43</v>
      </c>
      <c r="T48" s="198"/>
      <c r="U48" s="198"/>
    </row>
    <row r="49" spans="1:21" s="194" customFormat="1" ht="12.75" x14ac:dyDescent="0.2">
      <c r="A49" s="190" t="s">
        <v>175</v>
      </c>
      <c r="B49" s="191">
        <v>45046</v>
      </c>
      <c r="C49" s="190" t="s">
        <v>176</v>
      </c>
      <c r="D49" s="192">
        <v>183.08</v>
      </c>
      <c r="E49" s="193">
        <v>29</v>
      </c>
      <c r="L49" s="191">
        <v>45046</v>
      </c>
      <c r="M49" s="195"/>
      <c r="N49" s="196">
        <f>+O49</f>
        <v>45051</v>
      </c>
      <c r="O49" s="191">
        <v>45051</v>
      </c>
      <c r="P49" s="197">
        <f>+L49-N49</f>
        <v>-5</v>
      </c>
      <c r="Q49" s="197">
        <f>+N49-O49</f>
        <v>0</v>
      </c>
      <c r="R49" s="197">
        <f>+L49-O49</f>
        <v>-5</v>
      </c>
      <c r="S49" s="197">
        <f>+R49-30</f>
        <v>-35</v>
      </c>
      <c r="T49" s="198"/>
      <c r="U49" s="198"/>
    </row>
    <row r="50" spans="1:21" s="194" customFormat="1" ht="12.75" x14ac:dyDescent="0.2">
      <c r="A50" s="190" t="s">
        <v>177</v>
      </c>
      <c r="B50" s="191">
        <v>45048</v>
      </c>
      <c r="C50" s="190" t="s">
        <v>178</v>
      </c>
      <c r="D50" s="192">
        <v>7213.95</v>
      </c>
      <c r="E50" s="193">
        <v>29</v>
      </c>
      <c r="L50" s="191">
        <v>45048</v>
      </c>
      <c r="M50" s="195"/>
      <c r="N50" s="196">
        <f>+O50</f>
        <v>45061</v>
      </c>
      <c r="O50" s="191">
        <v>45061</v>
      </c>
      <c r="P50" s="197">
        <f>+L50-N50</f>
        <v>-13</v>
      </c>
      <c r="Q50" s="197">
        <f>+N50-O50</f>
        <v>0</v>
      </c>
      <c r="R50" s="197">
        <f>+L50-O50</f>
        <v>-13</v>
      </c>
      <c r="S50" s="197">
        <f>+R50-30</f>
        <v>-43</v>
      </c>
      <c r="T50" s="198"/>
      <c r="U50" s="198"/>
    </row>
    <row r="51" spans="1:21" s="194" customFormat="1" ht="12.75" x14ac:dyDescent="0.2">
      <c r="A51" s="190" t="s">
        <v>179</v>
      </c>
      <c r="B51" s="191">
        <v>45047</v>
      </c>
      <c r="C51" s="190" t="s">
        <v>180</v>
      </c>
      <c r="D51" s="192">
        <v>137.34</v>
      </c>
      <c r="E51" s="193">
        <v>29</v>
      </c>
      <c r="L51" s="191">
        <v>45047</v>
      </c>
      <c r="M51" s="195"/>
      <c r="N51" s="196">
        <f>+O51</f>
        <v>45047</v>
      </c>
      <c r="O51" s="191">
        <v>45047</v>
      </c>
      <c r="P51" s="197">
        <f>+L51-N51</f>
        <v>0</v>
      </c>
      <c r="Q51" s="197">
        <f>+N51-O51</f>
        <v>0</v>
      </c>
      <c r="R51" s="197">
        <f>+L51-O51</f>
        <v>0</v>
      </c>
      <c r="S51" s="197">
        <f>+R51-30</f>
        <v>-30</v>
      </c>
      <c r="T51" s="198"/>
      <c r="U51" s="198"/>
    </row>
    <row r="52" spans="1:21" s="194" customFormat="1" ht="12.75" x14ac:dyDescent="0.2">
      <c r="A52" s="190" t="s">
        <v>181</v>
      </c>
      <c r="B52" s="191">
        <v>45047</v>
      </c>
      <c r="C52" s="190" t="s">
        <v>182</v>
      </c>
      <c r="D52" s="192">
        <v>1.37</v>
      </c>
      <c r="E52" s="193">
        <v>29</v>
      </c>
      <c r="L52" s="191">
        <v>45047</v>
      </c>
      <c r="M52" s="195"/>
      <c r="N52" s="196">
        <f>+O52</f>
        <v>45048</v>
      </c>
      <c r="O52" s="191">
        <v>45048</v>
      </c>
      <c r="P52" s="197">
        <f>+L52-N52</f>
        <v>-1</v>
      </c>
      <c r="Q52" s="197">
        <f>+N52-O52</f>
        <v>0</v>
      </c>
      <c r="R52" s="197">
        <f>+L52-O52</f>
        <v>-1</v>
      </c>
      <c r="S52" s="197">
        <f>+R52-30</f>
        <v>-31</v>
      </c>
      <c r="T52" s="198"/>
      <c r="U52" s="198"/>
    </row>
    <row r="53" spans="1:21" s="194" customFormat="1" ht="12.75" x14ac:dyDescent="0.2">
      <c r="A53" s="190" t="s">
        <v>183</v>
      </c>
      <c r="B53" s="191">
        <v>45046</v>
      </c>
      <c r="C53" s="190" t="s">
        <v>184</v>
      </c>
      <c r="D53" s="192">
        <v>44.72</v>
      </c>
      <c r="E53" s="193">
        <v>29</v>
      </c>
      <c r="L53" s="191">
        <v>45046</v>
      </c>
      <c r="M53" s="195"/>
      <c r="N53" s="196">
        <f>+O53</f>
        <v>45051</v>
      </c>
      <c r="O53" s="191">
        <v>45051</v>
      </c>
      <c r="P53" s="197">
        <f>+L53-N53</f>
        <v>-5</v>
      </c>
      <c r="Q53" s="197">
        <f>+N53-O53</f>
        <v>0</v>
      </c>
      <c r="R53" s="197">
        <f>+L53-O53</f>
        <v>-5</v>
      </c>
      <c r="S53" s="197">
        <f>+R53-30</f>
        <v>-35</v>
      </c>
      <c r="T53" s="198"/>
      <c r="U53" s="198"/>
    </row>
    <row r="54" spans="1:21" s="194" customFormat="1" ht="12.75" x14ac:dyDescent="0.2">
      <c r="A54" s="190" t="s">
        <v>185</v>
      </c>
      <c r="B54" s="191">
        <v>45048</v>
      </c>
      <c r="C54" s="190" t="s">
        <v>186</v>
      </c>
      <c r="D54" s="192">
        <v>542.08000000000004</v>
      </c>
      <c r="E54" s="193">
        <v>29</v>
      </c>
      <c r="L54" s="191">
        <v>45048</v>
      </c>
      <c r="M54" s="195"/>
      <c r="N54" s="196">
        <f>+O54</f>
        <v>45061</v>
      </c>
      <c r="O54" s="191">
        <v>45061</v>
      </c>
      <c r="P54" s="197">
        <f>+L54-N54</f>
        <v>-13</v>
      </c>
      <c r="Q54" s="197">
        <f>+N54-O54</f>
        <v>0</v>
      </c>
      <c r="R54" s="197">
        <f>+L54-O54</f>
        <v>-13</v>
      </c>
      <c r="S54" s="197">
        <f>+R54-30</f>
        <v>-43</v>
      </c>
      <c r="T54" s="198"/>
      <c r="U54" s="198"/>
    </row>
    <row r="55" spans="1:21" s="194" customFormat="1" ht="12.75" x14ac:dyDescent="0.2">
      <c r="A55" s="190" t="s">
        <v>187</v>
      </c>
      <c r="B55" s="191">
        <v>45048</v>
      </c>
      <c r="C55" s="190" t="s">
        <v>188</v>
      </c>
      <c r="D55" s="192">
        <v>1084.1600000000001</v>
      </c>
      <c r="E55" s="193">
        <v>29</v>
      </c>
      <c r="L55" s="191">
        <v>45048</v>
      </c>
      <c r="M55" s="195"/>
      <c r="N55" s="196">
        <f>+O55</f>
        <v>45061</v>
      </c>
      <c r="O55" s="191">
        <v>45061</v>
      </c>
      <c r="P55" s="197">
        <f>+L55-N55</f>
        <v>-13</v>
      </c>
      <c r="Q55" s="197">
        <f>+N55-O55</f>
        <v>0</v>
      </c>
      <c r="R55" s="197">
        <f>+L55-O55</f>
        <v>-13</v>
      </c>
      <c r="S55" s="197">
        <f>+R55-30</f>
        <v>-43</v>
      </c>
      <c r="T55" s="198"/>
      <c r="U55" s="198"/>
    </row>
    <row r="56" spans="1:21" s="194" customFormat="1" ht="12.75" x14ac:dyDescent="0.2">
      <c r="A56" s="190" t="s">
        <v>189</v>
      </c>
      <c r="B56" s="191">
        <v>45043</v>
      </c>
      <c r="C56" s="190" t="s">
        <v>190</v>
      </c>
      <c r="D56" s="192">
        <v>15.74</v>
      </c>
      <c r="E56" s="193">
        <v>29</v>
      </c>
      <c r="L56" s="191">
        <v>45043</v>
      </c>
      <c r="M56" s="195"/>
      <c r="N56" s="196">
        <f>+O56</f>
        <v>45063</v>
      </c>
      <c r="O56" s="191">
        <v>45063</v>
      </c>
      <c r="P56" s="197">
        <f>+L56-N56</f>
        <v>-20</v>
      </c>
      <c r="Q56" s="197">
        <f>+N56-O56</f>
        <v>0</v>
      </c>
      <c r="R56" s="197">
        <f>+L56-O56</f>
        <v>-20</v>
      </c>
      <c r="S56" s="197">
        <f>+R56-30</f>
        <v>-50</v>
      </c>
      <c r="T56" s="198"/>
      <c r="U56" s="198"/>
    </row>
    <row r="57" spans="1:21" s="194" customFormat="1" ht="12.75" x14ac:dyDescent="0.2">
      <c r="A57" s="190" t="s">
        <v>191</v>
      </c>
      <c r="B57" s="191">
        <v>45043</v>
      </c>
      <c r="C57" s="190" t="s">
        <v>192</v>
      </c>
      <c r="D57" s="192">
        <v>41.95</v>
      </c>
      <c r="E57" s="193">
        <v>29</v>
      </c>
      <c r="L57" s="191">
        <v>45043</v>
      </c>
      <c r="M57" s="195"/>
      <c r="N57" s="196">
        <f>+O57</f>
        <v>45063</v>
      </c>
      <c r="O57" s="191">
        <v>45063</v>
      </c>
      <c r="P57" s="197">
        <f>+L57-N57</f>
        <v>-20</v>
      </c>
      <c r="Q57" s="197">
        <f>+N57-O57</f>
        <v>0</v>
      </c>
      <c r="R57" s="197">
        <f>+L57-O57</f>
        <v>-20</v>
      </c>
      <c r="S57" s="197">
        <f>+R57-30</f>
        <v>-50</v>
      </c>
      <c r="T57" s="198"/>
      <c r="U57" s="198"/>
    </row>
    <row r="58" spans="1:21" s="194" customFormat="1" ht="12.75" x14ac:dyDescent="0.2">
      <c r="A58" s="190" t="s">
        <v>193</v>
      </c>
      <c r="B58" s="191">
        <v>45043</v>
      </c>
      <c r="C58" s="190" t="s">
        <v>194</v>
      </c>
      <c r="D58" s="192">
        <v>20.68</v>
      </c>
      <c r="E58" s="193">
        <v>29</v>
      </c>
      <c r="L58" s="191">
        <v>45043</v>
      </c>
      <c r="M58" s="195"/>
      <c r="N58" s="196">
        <f>+O58</f>
        <v>45063</v>
      </c>
      <c r="O58" s="191">
        <v>45063</v>
      </c>
      <c r="P58" s="197">
        <f>+L58-N58</f>
        <v>-20</v>
      </c>
      <c r="Q58" s="197">
        <f>+N58-O58</f>
        <v>0</v>
      </c>
      <c r="R58" s="197">
        <f>+L58-O58</f>
        <v>-20</v>
      </c>
      <c r="S58" s="197">
        <f>+R58-30</f>
        <v>-50</v>
      </c>
      <c r="T58" s="198"/>
      <c r="U58" s="198"/>
    </row>
    <row r="59" spans="1:21" s="194" customFormat="1" ht="12.75" x14ac:dyDescent="0.2">
      <c r="A59" s="190" t="s">
        <v>195</v>
      </c>
      <c r="B59" s="191">
        <v>45043</v>
      </c>
      <c r="C59" s="190" t="s">
        <v>196</v>
      </c>
      <c r="D59" s="192">
        <v>35.549999999999997</v>
      </c>
      <c r="E59" s="193">
        <v>29</v>
      </c>
      <c r="L59" s="191">
        <v>45043</v>
      </c>
      <c r="M59" s="195"/>
      <c r="N59" s="196">
        <f>+O59</f>
        <v>45063</v>
      </c>
      <c r="O59" s="191">
        <v>45063</v>
      </c>
      <c r="P59" s="197">
        <f>+L59-N59</f>
        <v>-20</v>
      </c>
      <c r="Q59" s="197">
        <f>+N59-O59</f>
        <v>0</v>
      </c>
      <c r="R59" s="197">
        <f>+L59-O59</f>
        <v>-20</v>
      </c>
      <c r="S59" s="197">
        <f>+R59-30</f>
        <v>-50</v>
      </c>
      <c r="T59" s="198"/>
      <c r="U59" s="198"/>
    </row>
    <row r="60" spans="1:21" s="194" customFormat="1" ht="12.75" x14ac:dyDescent="0.2">
      <c r="A60" s="190" t="s">
        <v>197</v>
      </c>
      <c r="B60" s="191">
        <v>45043</v>
      </c>
      <c r="C60" s="190" t="s">
        <v>198</v>
      </c>
      <c r="D60" s="192">
        <v>28.5</v>
      </c>
      <c r="E60" s="193">
        <v>29</v>
      </c>
      <c r="L60" s="191">
        <v>45043</v>
      </c>
      <c r="M60" s="195"/>
      <c r="N60" s="196">
        <f>+O60</f>
        <v>45063</v>
      </c>
      <c r="O60" s="191">
        <v>45063</v>
      </c>
      <c r="P60" s="197">
        <f>+L60-N60</f>
        <v>-20</v>
      </c>
      <c r="Q60" s="197">
        <f>+N60-O60</f>
        <v>0</v>
      </c>
      <c r="R60" s="197">
        <f>+L60-O60</f>
        <v>-20</v>
      </c>
      <c r="S60" s="197">
        <f>+R60-30</f>
        <v>-50</v>
      </c>
      <c r="T60" s="198"/>
      <c r="U60" s="198"/>
    </row>
    <row r="61" spans="1:21" s="194" customFormat="1" ht="12.75" x14ac:dyDescent="0.2">
      <c r="A61" s="190" t="s">
        <v>199</v>
      </c>
      <c r="B61" s="191">
        <v>45043</v>
      </c>
      <c r="C61" s="190" t="s">
        <v>200</v>
      </c>
      <c r="D61" s="192">
        <v>76.819999999999993</v>
      </c>
      <c r="E61" s="193">
        <v>29</v>
      </c>
      <c r="L61" s="191">
        <v>45043</v>
      </c>
      <c r="M61" s="195"/>
      <c r="N61" s="196">
        <f>+O61</f>
        <v>45063</v>
      </c>
      <c r="O61" s="191">
        <v>45063</v>
      </c>
      <c r="P61" s="197">
        <f>+L61-N61</f>
        <v>-20</v>
      </c>
      <c r="Q61" s="197">
        <f>+N61-O61</f>
        <v>0</v>
      </c>
      <c r="R61" s="197">
        <f>+L61-O61</f>
        <v>-20</v>
      </c>
      <c r="S61" s="197">
        <f>+R61-30</f>
        <v>-50</v>
      </c>
      <c r="T61" s="198"/>
      <c r="U61" s="198"/>
    </row>
    <row r="62" spans="1:21" s="194" customFormat="1" ht="12.75" x14ac:dyDescent="0.2">
      <c r="A62" s="190" t="s">
        <v>201</v>
      </c>
      <c r="B62" s="191">
        <v>45043</v>
      </c>
      <c r="C62" s="190" t="s">
        <v>202</v>
      </c>
      <c r="D62" s="192">
        <v>14.92</v>
      </c>
      <c r="E62" s="193">
        <v>29</v>
      </c>
      <c r="L62" s="191">
        <v>45043</v>
      </c>
      <c r="M62" s="195"/>
      <c r="N62" s="196">
        <f>+O62</f>
        <v>45063</v>
      </c>
      <c r="O62" s="191">
        <v>45063</v>
      </c>
      <c r="P62" s="197">
        <f>+L62-N62</f>
        <v>-20</v>
      </c>
      <c r="Q62" s="197">
        <f>+N62-O62</f>
        <v>0</v>
      </c>
      <c r="R62" s="197">
        <f>+L62-O62</f>
        <v>-20</v>
      </c>
      <c r="S62" s="197">
        <f>+R62-30</f>
        <v>-50</v>
      </c>
      <c r="T62" s="198"/>
      <c r="U62" s="198"/>
    </row>
    <row r="63" spans="1:21" s="194" customFormat="1" ht="12.75" x14ac:dyDescent="0.2">
      <c r="A63" s="190" t="s">
        <v>203</v>
      </c>
      <c r="B63" s="191">
        <v>45043</v>
      </c>
      <c r="C63" s="190" t="s">
        <v>204</v>
      </c>
      <c r="D63" s="192">
        <v>12.97</v>
      </c>
      <c r="E63" s="193">
        <v>29</v>
      </c>
      <c r="L63" s="191">
        <v>45043</v>
      </c>
      <c r="M63" s="195"/>
      <c r="N63" s="196">
        <f>+O63</f>
        <v>45063</v>
      </c>
      <c r="O63" s="191">
        <v>45063</v>
      </c>
      <c r="P63" s="197">
        <f>+L63-N63</f>
        <v>-20</v>
      </c>
      <c r="Q63" s="197">
        <f>+N63-O63</f>
        <v>0</v>
      </c>
      <c r="R63" s="197">
        <f>+L63-O63</f>
        <v>-20</v>
      </c>
      <c r="S63" s="197">
        <f>+R63-30</f>
        <v>-50</v>
      </c>
      <c r="T63" s="198"/>
      <c r="U63" s="198"/>
    </row>
    <row r="64" spans="1:21" s="194" customFormat="1" ht="12.75" x14ac:dyDescent="0.2">
      <c r="A64" s="190" t="s">
        <v>205</v>
      </c>
      <c r="B64" s="191">
        <v>45043</v>
      </c>
      <c r="C64" s="190" t="s">
        <v>206</v>
      </c>
      <c r="D64" s="192">
        <v>11.68</v>
      </c>
      <c r="E64" s="193">
        <v>29</v>
      </c>
      <c r="L64" s="191">
        <v>45043</v>
      </c>
      <c r="M64" s="195"/>
      <c r="N64" s="196">
        <f>+O64</f>
        <v>45063</v>
      </c>
      <c r="O64" s="191">
        <v>45063</v>
      </c>
      <c r="P64" s="197">
        <f>+L64-N64</f>
        <v>-20</v>
      </c>
      <c r="Q64" s="197">
        <f>+N64-O64</f>
        <v>0</v>
      </c>
      <c r="R64" s="197">
        <f>+L64-O64</f>
        <v>-20</v>
      </c>
      <c r="S64" s="197">
        <f>+R64-30</f>
        <v>-50</v>
      </c>
      <c r="T64" s="198"/>
      <c r="U64" s="198"/>
    </row>
    <row r="65" spans="1:21" s="194" customFormat="1" ht="12.75" x14ac:dyDescent="0.2">
      <c r="A65" s="190" t="s">
        <v>207</v>
      </c>
      <c r="B65" s="191">
        <v>45043</v>
      </c>
      <c r="C65" s="190" t="s">
        <v>208</v>
      </c>
      <c r="D65" s="192">
        <v>541.55999999999995</v>
      </c>
      <c r="E65" s="193">
        <v>29</v>
      </c>
      <c r="L65" s="191">
        <v>45043</v>
      </c>
      <c r="M65" s="195"/>
      <c r="N65" s="196">
        <f>+O65</f>
        <v>45063</v>
      </c>
      <c r="O65" s="191">
        <v>45063</v>
      </c>
      <c r="P65" s="197">
        <f>+L65-N65</f>
        <v>-20</v>
      </c>
      <c r="Q65" s="197">
        <f>+N65-O65</f>
        <v>0</v>
      </c>
      <c r="R65" s="197">
        <f>+L65-O65</f>
        <v>-20</v>
      </c>
      <c r="S65" s="197">
        <f>+R65-30</f>
        <v>-50</v>
      </c>
      <c r="T65" s="198"/>
      <c r="U65" s="198"/>
    </row>
    <row r="66" spans="1:21" s="194" customFormat="1" ht="12.75" x14ac:dyDescent="0.2">
      <c r="A66" s="190" t="s">
        <v>209</v>
      </c>
      <c r="B66" s="191">
        <v>45043</v>
      </c>
      <c r="C66" s="190" t="s">
        <v>210</v>
      </c>
      <c r="D66" s="192">
        <v>567.41</v>
      </c>
      <c r="E66" s="193">
        <v>29</v>
      </c>
      <c r="L66" s="191">
        <v>45043</v>
      </c>
      <c r="M66" s="195"/>
      <c r="N66" s="196">
        <f>+O66</f>
        <v>45063</v>
      </c>
      <c r="O66" s="191">
        <v>45063</v>
      </c>
      <c r="P66" s="197">
        <f>+L66-N66</f>
        <v>-20</v>
      </c>
      <c r="Q66" s="197">
        <f>+N66-O66</f>
        <v>0</v>
      </c>
      <c r="R66" s="197">
        <f>+L66-O66</f>
        <v>-20</v>
      </c>
      <c r="S66" s="197">
        <f>+R66-30</f>
        <v>-50</v>
      </c>
      <c r="T66" s="198"/>
      <c r="U66" s="198"/>
    </row>
    <row r="67" spans="1:21" s="194" customFormat="1" ht="12.75" x14ac:dyDescent="0.2">
      <c r="A67" s="190" t="s">
        <v>211</v>
      </c>
      <c r="B67" s="191">
        <v>45044</v>
      </c>
      <c r="C67" s="190" t="s">
        <v>212</v>
      </c>
      <c r="D67" s="192">
        <v>544.5</v>
      </c>
      <c r="E67" s="193">
        <v>29</v>
      </c>
      <c r="L67" s="191">
        <v>45044</v>
      </c>
      <c r="M67" s="195"/>
      <c r="N67" s="196">
        <f>+O67</f>
        <v>45061</v>
      </c>
      <c r="O67" s="191">
        <v>45061</v>
      </c>
      <c r="P67" s="197">
        <f>+L67-N67</f>
        <v>-17</v>
      </c>
      <c r="Q67" s="197">
        <f>+N67-O67</f>
        <v>0</v>
      </c>
      <c r="R67" s="197">
        <f>+L67-O67</f>
        <v>-17</v>
      </c>
      <c r="S67" s="197">
        <f>+R67-30</f>
        <v>-47</v>
      </c>
      <c r="T67" s="198"/>
      <c r="U67" s="198"/>
    </row>
    <row r="68" spans="1:21" s="194" customFormat="1" ht="12.75" x14ac:dyDescent="0.2">
      <c r="A68" s="190" t="s">
        <v>213</v>
      </c>
      <c r="B68" s="191">
        <v>45051</v>
      </c>
      <c r="C68" s="190" t="s">
        <v>214</v>
      </c>
      <c r="D68" s="192">
        <v>43.63</v>
      </c>
      <c r="E68" s="193">
        <v>29</v>
      </c>
      <c r="L68" s="191">
        <v>45051</v>
      </c>
      <c r="M68" s="195"/>
      <c r="N68" s="196">
        <f>+O68</f>
        <v>45078</v>
      </c>
      <c r="O68" s="191">
        <v>45078</v>
      </c>
      <c r="P68" s="197">
        <f>+L68-N68</f>
        <v>-27</v>
      </c>
      <c r="Q68" s="197">
        <f>+N68-O68</f>
        <v>0</v>
      </c>
      <c r="R68" s="197">
        <f>+L68-O68</f>
        <v>-27</v>
      </c>
      <c r="S68" s="197">
        <f>+R68-30</f>
        <v>-57</v>
      </c>
      <c r="T68" s="198"/>
      <c r="U68" s="198"/>
    </row>
    <row r="69" spans="1:21" s="194" customFormat="1" ht="12.75" x14ac:dyDescent="0.2">
      <c r="A69" s="190" t="s">
        <v>215</v>
      </c>
      <c r="B69" s="191">
        <v>45026</v>
      </c>
      <c r="C69" s="190" t="s">
        <v>216</v>
      </c>
      <c r="D69" s="192">
        <v>40</v>
      </c>
      <c r="E69" s="193">
        <v>29</v>
      </c>
      <c r="L69" s="191">
        <v>45026</v>
      </c>
      <c r="M69" s="195"/>
      <c r="N69" s="196">
        <f>+O69</f>
        <v>45028</v>
      </c>
      <c r="O69" s="191">
        <v>45028</v>
      </c>
      <c r="P69" s="197">
        <f>+L69-N69</f>
        <v>-2</v>
      </c>
      <c r="Q69" s="197">
        <f>+N69-O69</f>
        <v>0</v>
      </c>
      <c r="R69" s="197">
        <f>+L69-O69</f>
        <v>-2</v>
      </c>
      <c r="S69" s="197">
        <f>+R69-30</f>
        <v>-32</v>
      </c>
      <c r="T69" s="198"/>
      <c r="U69" s="198"/>
    </row>
    <row r="70" spans="1:21" s="194" customFormat="1" ht="12.75" x14ac:dyDescent="0.2">
      <c r="A70" s="190" t="s">
        <v>217</v>
      </c>
      <c r="B70" s="191">
        <v>45051</v>
      </c>
      <c r="C70" s="190" t="s">
        <v>218</v>
      </c>
      <c r="D70" s="192">
        <v>43.63</v>
      </c>
      <c r="E70" s="193">
        <v>29</v>
      </c>
      <c r="L70" s="191">
        <v>45051</v>
      </c>
      <c r="M70" s="195"/>
      <c r="N70" s="196">
        <f>+O70</f>
        <v>45078</v>
      </c>
      <c r="O70" s="191">
        <v>45078</v>
      </c>
      <c r="P70" s="197">
        <f>+L70-N70</f>
        <v>-27</v>
      </c>
      <c r="Q70" s="197">
        <f>+N70-O70</f>
        <v>0</v>
      </c>
      <c r="R70" s="197">
        <f>+L70-O70</f>
        <v>-27</v>
      </c>
      <c r="S70" s="197">
        <f>+R70-30</f>
        <v>-57</v>
      </c>
      <c r="T70" s="198"/>
      <c r="U70" s="198"/>
    </row>
    <row r="71" spans="1:21" s="194" customFormat="1" ht="12.75" x14ac:dyDescent="0.2">
      <c r="A71" s="190" t="s">
        <v>219</v>
      </c>
      <c r="B71" s="191">
        <v>45051</v>
      </c>
      <c r="C71" s="190" t="s">
        <v>220</v>
      </c>
      <c r="D71" s="192">
        <v>41</v>
      </c>
      <c r="E71" s="193">
        <v>29</v>
      </c>
      <c r="L71" s="191">
        <v>45051</v>
      </c>
      <c r="M71" s="195"/>
      <c r="N71" s="196">
        <f>+O71</f>
        <v>45078</v>
      </c>
      <c r="O71" s="191">
        <v>45078</v>
      </c>
      <c r="P71" s="197">
        <f>+L71-N71</f>
        <v>-27</v>
      </c>
      <c r="Q71" s="197">
        <f>+N71-O71</f>
        <v>0</v>
      </c>
      <c r="R71" s="197">
        <f>+L71-O71</f>
        <v>-27</v>
      </c>
      <c r="S71" s="197">
        <f>+R71-30</f>
        <v>-57</v>
      </c>
      <c r="T71" s="198"/>
      <c r="U71" s="198"/>
    </row>
    <row r="72" spans="1:21" s="194" customFormat="1" ht="12.75" x14ac:dyDescent="0.2">
      <c r="A72" s="190" t="s">
        <v>221</v>
      </c>
      <c r="B72" s="191">
        <v>45036</v>
      </c>
      <c r="C72" s="190" t="s">
        <v>222</v>
      </c>
      <c r="D72" s="192">
        <v>575.41999999999996</v>
      </c>
      <c r="E72" s="193">
        <v>29</v>
      </c>
      <c r="L72" s="191">
        <v>45036</v>
      </c>
      <c r="M72" s="195"/>
      <c r="N72" s="196">
        <f>+O72</f>
        <v>45036</v>
      </c>
      <c r="O72" s="191">
        <v>45036</v>
      </c>
      <c r="P72" s="197">
        <f>+L72-N72</f>
        <v>0</v>
      </c>
      <c r="Q72" s="197">
        <f>+N72-O72</f>
        <v>0</v>
      </c>
      <c r="R72" s="197">
        <f>+L72-O72</f>
        <v>0</v>
      </c>
      <c r="S72" s="197">
        <f>+R72-30</f>
        <v>-30</v>
      </c>
      <c r="T72" s="198"/>
      <c r="U72" s="198"/>
    </row>
    <row r="73" spans="1:21" s="194" customFormat="1" ht="12.75" x14ac:dyDescent="0.2">
      <c r="A73" s="190" t="s">
        <v>223</v>
      </c>
      <c r="B73" s="191">
        <v>45036</v>
      </c>
      <c r="C73" s="190" t="s">
        <v>224</v>
      </c>
      <c r="D73" s="192">
        <v>28.72</v>
      </c>
      <c r="E73" s="193">
        <v>29</v>
      </c>
      <c r="L73" s="191">
        <v>45036</v>
      </c>
      <c r="M73" s="195"/>
      <c r="N73" s="196">
        <f>+O73</f>
        <v>45036</v>
      </c>
      <c r="O73" s="191">
        <v>45036</v>
      </c>
      <c r="P73" s="197">
        <f>+L73-N73</f>
        <v>0</v>
      </c>
      <c r="Q73" s="197">
        <f>+N73-O73</f>
        <v>0</v>
      </c>
      <c r="R73" s="197">
        <f>+L73-O73</f>
        <v>0</v>
      </c>
      <c r="S73" s="197">
        <f>+R73-30</f>
        <v>-30</v>
      </c>
      <c r="T73" s="198"/>
      <c r="U73" s="198"/>
    </row>
    <row r="74" spans="1:21" s="194" customFormat="1" ht="12.75" x14ac:dyDescent="0.2">
      <c r="A74" s="190" t="s">
        <v>225</v>
      </c>
      <c r="B74" s="191">
        <v>45054</v>
      </c>
      <c r="C74" s="190" t="s">
        <v>226</v>
      </c>
      <c r="D74" s="192">
        <v>1000</v>
      </c>
      <c r="E74" s="193">
        <v>29</v>
      </c>
      <c r="L74" s="191">
        <v>45054</v>
      </c>
      <c r="M74" s="195"/>
      <c r="N74" s="196">
        <f>+O74</f>
        <v>45061</v>
      </c>
      <c r="O74" s="191">
        <v>45061</v>
      </c>
      <c r="P74" s="197">
        <f>+L74-N74</f>
        <v>-7</v>
      </c>
      <c r="Q74" s="197">
        <f>+N74-O74</f>
        <v>0</v>
      </c>
      <c r="R74" s="197">
        <f>+L74-O74</f>
        <v>-7</v>
      </c>
      <c r="S74" s="197">
        <f>+R74-30</f>
        <v>-37</v>
      </c>
      <c r="T74" s="198"/>
      <c r="U74" s="198"/>
    </row>
    <row r="75" spans="1:21" s="194" customFormat="1" ht="12.75" x14ac:dyDescent="0.2">
      <c r="A75" s="190" t="s">
        <v>227</v>
      </c>
      <c r="B75" s="191">
        <v>45043</v>
      </c>
      <c r="C75" s="190" t="s">
        <v>228</v>
      </c>
      <c r="D75" s="192">
        <v>1678.94</v>
      </c>
      <c r="E75" s="193">
        <v>29</v>
      </c>
      <c r="L75" s="191">
        <v>45043</v>
      </c>
      <c r="M75" s="195"/>
      <c r="N75" s="196">
        <f>+O75</f>
        <v>45063</v>
      </c>
      <c r="O75" s="191">
        <v>45063</v>
      </c>
      <c r="P75" s="197">
        <f>+L75-N75</f>
        <v>-20</v>
      </c>
      <c r="Q75" s="197">
        <f>+N75-O75</f>
        <v>0</v>
      </c>
      <c r="R75" s="197">
        <f>+L75-O75</f>
        <v>-20</v>
      </c>
      <c r="S75" s="197">
        <f>+R75-30</f>
        <v>-50</v>
      </c>
      <c r="T75" s="198"/>
      <c r="U75" s="198"/>
    </row>
    <row r="76" spans="1:21" s="194" customFormat="1" ht="12.75" x14ac:dyDescent="0.2">
      <c r="A76" s="190" t="s">
        <v>229</v>
      </c>
      <c r="B76" s="191">
        <v>45043</v>
      </c>
      <c r="C76" s="190" t="s">
        <v>230</v>
      </c>
      <c r="D76" s="192">
        <v>884.9</v>
      </c>
      <c r="E76" s="193">
        <v>29</v>
      </c>
      <c r="L76" s="191">
        <v>45043</v>
      </c>
      <c r="M76" s="195"/>
      <c r="N76" s="196">
        <f>+O76</f>
        <v>45063</v>
      </c>
      <c r="O76" s="191">
        <v>45063</v>
      </c>
      <c r="P76" s="197">
        <f>+L76-N76</f>
        <v>-20</v>
      </c>
      <c r="Q76" s="197">
        <f>+N76-O76</f>
        <v>0</v>
      </c>
      <c r="R76" s="197">
        <f>+L76-O76</f>
        <v>-20</v>
      </c>
      <c r="S76" s="197">
        <f>+R76-30</f>
        <v>-50</v>
      </c>
      <c r="T76" s="198"/>
      <c r="U76" s="198"/>
    </row>
    <row r="77" spans="1:21" s="194" customFormat="1" ht="12.75" x14ac:dyDescent="0.2">
      <c r="A77" s="190" t="s">
        <v>231</v>
      </c>
      <c r="B77" s="191">
        <v>45043</v>
      </c>
      <c r="C77" s="190" t="s">
        <v>232</v>
      </c>
      <c r="D77" s="192">
        <v>471.75</v>
      </c>
      <c r="E77" s="193">
        <v>29</v>
      </c>
      <c r="L77" s="191">
        <v>45043</v>
      </c>
      <c r="M77" s="195"/>
      <c r="N77" s="196">
        <f>+O77</f>
        <v>45063</v>
      </c>
      <c r="O77" s="191">
        <v>45063</v>
      </c>
      <c r="P77" s="197">
        <f>+L77-N77</f>
        <v>-20</v>
      </c>
      <c r="Q77" s="197">
        <f>+N77-O77</f>
        <v>0</v>
      </c>
      <c r="R77" s="197">
        <f>+L77-O77</f>
        <v>-20</v>
      </c>
      <c r="S77" s="197">
        <f>+R77-30</f>
        <v>-50</v>
      </c>
      <c r="T77" s="198"/>
      <c r="U77" s="198"/>
    </row>
    <row r="78" spans="1:21" s="194" customFormat="1" ht="12.75" x14ac:dyDescent="0.2">
      <c r="A78" s="190" t="s">
        <v>233</v>
      </c>
      <c r="B78" s="191">
        <v>45046</v>
      </c>
      <c r="C78" s="190" t="s">
        <v>234</v>
      </c>
      <c r="D78" s="192">
        <v>109.87</v>
      </c>
      <c r="E78" s="193">
        <v>29</v>
      </c>
      <c r="L78" s="191">
        <v>45046</v>
      </c>
      <c r="M78" s="195"/>
      <c r="N78" s="196">
        <f>+O78</f>
        <v>45051</v>
      </c>
      <c r="O78" s="191">
        <v>45051</v>
      </c>
      <c r="P78" s="197">
        <f>+L78-N78</f>
        <v>-5</v>
      </c>
      <c r="Q78" s="197">
        <f>+N78-O78</f>
        <v>0</v>
      </c>
      <c r="R78" s="197">
        <f>+L78-O78</f>
        <v>-5</v>
      </c>
      <c r="S78" s="197">
        <f>+R78-30</f>
        <v>-35</v>
      </c>
      <c r="T78" s="198"/>
      <c r="U78" s="198"/>
    </row>
    <row r="79" spans="1:21" s="194" customFormat="1" ht="12.75" x14ac:dyDescent="0.2">
      <c r="A79" s="190" t="s">
        <v>235</v>
      </c>
      <c r="B79" s="191">
        <v>45043</v>
      </c>
      <c r="C79" s="190" t="s">
        <v>236</v>
      </c>
      <c r="D79" s="192">
        <v>652.24</v>
      </c>
      <c r="E79" s="193">
        <v>29</v>
      </c>
      <c r="L79" s="191">
        <v>45043</v>
      </c>
      <c r="M79" s="195"/>
      <c r="N79" s="196">
        <f>+O79</f>
        <v>45061</v>
      </c>
      <c r="O79" s="191">
        <v>45061</v>
      </c>
      <c r="P79" s="197">
        <f>+L79-N79</f>
        <v>-18</v>
      </c>
      <c r="Q79" s="197">
        <f>+N79-O79</f>
        <v>0</v>
      </c>
      <c r="R79" s="197">
        <f>+L79-O79</f>
        <v>-18</v>
      </c>
      <c r="S79" s="197">
        <f>+R79-30</f>
        <v>-48</v>
      </c>
      <c r="T79" s="198"/>
      <c r="U79" s="198"/>
    </row>
    <row r="80" spans="1:21" s="194" customFormat="1" ht="12.75" x14ac:dyDescent="0.2">
      <c r="A80" s="190" t="s">
        <v>237</v>
      </c>
      <c r="B80" s="191">
        <v>45043</v>
      </c>
      <c r="C80" s="190" t="s">
        <v>238</v>
      </c>
      <c r="D80" s="192">
        <v>532.4</v>
      </c>
      <c r="E80" s="193">
        <v>29</v>
      </c>
      <c r="L80" s="191">
        <v>45043</v>
      </c>
      <c r="M80" s="195"/>
      <c r="N80" s="196">
        <f>+O80</f>
        <v>45061</v>
      </c>
      <c r="O80" s="191">
        <v>45061</v>
      </c>
      <c r="P80" s="197">
        <f>+L80-N80</f>
        <v>-18</v>
      </c>
      <c r="Q80" s="197">
        <f>+N80-O80</f>
        <v>0</v>
      </c>
      <c r="R80" s="197">
        <f>+L80-O80</f>
        <v>-18</v>
      </c>
      <c r="S80" s="197">
        <f>+R80-30</f>
        <v>-48</v>
      </c>
      <c r="T80" s="198"/>
      <c r="U80" s="198"/>
    </row>
    <row r="81" spans="1:21" s="194" customFormat="1" ht="12.75" x14ac:dyDescent="0.2">
      <c r="A81" s="190" t="s">
        <v>239</v>
      </c>
      <c r="B81" s="191">
        <v>45057</v>
      </c>
      <c r="C81" s="190" t="s">
        <v>240</v>
      </c>
      <c r="D81" s="192">
        <v>3307.35</v>
      </c>
      <c r="E81" s="193">
        <v>29</v>
      </c>
      <c r="L81" s="191">
        <v>45057</v>
      </c>
      <c r="M81" s="195"/>
      <c r="N81" s="196">
        <f>+O81</f>
        <v>45061</v>
      </c>
      <c r="O81" s="191">
        <v>45061</v>
      </c>
      <c r="P81" s="197">
        <f>+L81-N81</f>
        <v>-4</v>
      </c>
      <c r="Q81" s="197">
        <f>+N81-O81</f>
        <v>0</v>
      </c>
      <c r="R81" s="197">
        <f>+L81-O81</f>
        <v>-4</v>
      </c>
      <c r="S81" s="197">
        <f>+R81-30</f>
        <v>-34</v>
      </c>
      <c r="T81" s="198"/>
      <c r="U81" s="198"/>
    </row>
    <row r="82" spans="1:21" s="194" customFormat="1" ht="12.75" x14ac:dyDescent="0.2">
      <c r="A82" s="190" t="s">
        <v>241</v>
      </c>
      <c r="B82" s="191">
        <v>45046</v>
      </c>
      <c r="C82" s="190" t="s">
        <v>242</v>
      </c>
      <c r="D82" s="192">
        <v>23.62</v>
      </c>
      <c r="E82" s="193">
        <v>29</v>
      </c>
      <c r="L82" s="191">
        <v>45046</v>
      </c>
      <c r="M82" s="195"/>
      <c r="N82" s="196">
        <f>+O82</f>
        <v>45068</v>
      </c>
      <c r="O82" s="191">
        <v>45068</v>
      </c>
      <c r="P82" s="197">
        <f>+L82-N82</f>
        <v>-22</v>
      </c>
      <c r="Q82" s="197">
        <f>+N82-O82</f>
        <v>0</v>
      </c>
      <c r="R82" s="197">
        <f>+L82-O82</f>
        <v>-22</v>
      </c>
      <c r="S82" s="197">
        <f>+R82-30</f>
        <v>-52</v>
      </c>
      <c r="T82" s="198"/>
      <c r="U82" s="198"/>
    </row>
    <row r="83" spans="1:21" s="194" customFormat="1" ht="12.75" x14ac:dyDescent="0.2">
      <c r="A83" s="190" t="s">
        <v>243</v>
      </c>
      <c r="B83" s="191">
        <v>45049</v>
      </c>
      <c r="C83" s="190" t="s">
        <v>244</v>
      </c>
      <c r="D83" s="192">
        <v>1633.5</v>
      </c>
      <c r="E83" s="193">
        <v>29</v>
      </c>
      <c r="L83" s="191">
        <v>45049</v>
      </c>
      <c r="M83" s="195"/>
      <c r="N83" s="196">
        <f>+O83</f>
        <v>45068</v>
      </c>
      <c r="O83" s="191">
        <v>45068</v>
      </c>
      <c r="P83" s="197">
        <f>+L83-N83</f>
        <v>-19</v>
      </c>
      <c r="Q83" s="197">
        <f>+N83-O83</f>
        <v>0</v>
      </c>
      <c r="R83" s="197">
        <f>+L83-O83</f>
        <v>-19</v>
      </c>
      <c r="S83" s="197">
        <f>+R83-30</f>
        <v>-49</v>
      </c>
      <c r="T83" s="198"/>
      <c r="U83" s="198"/>
    </row>
    <row r="84" spans="1:21" s="194" customFormat="1" ht="12.75" x14ac:dyDescent="0.2">
      <c r="A84" s="190" t="s">
        <v>245</v>
      </c>
      <c r="B84" s="191">
        <v>45046</v>
      </c>
      <c r="C84" s="190" t="s">
        <v>246</v>
      </c>
      <c r="D84" s="192">
        <v>27.83</v>
      </c>
      <c r="E84" s="193">
        <v>29</v>
      </c>
      <c r="L84" s="191">
        <v>45046</v>
      </c>
      <c r="M84" s="195"/>
      <c r="N84" s="196">
        <f>+O84</f>
        <v>45076</v>
      </c>
      <c r="O84" s="191">
        <v>45076</v>
      </c>
      <c r="P84" s="197">
        <f>+L84-N84</f>
        <v>-30</v>
      </c>
      <c r="Q84" s="197">
        <f>+N84-O84</f>
        <v>0</v>
      </c>
      <c r="R84" s="197">
        <f>+L84-O84</f>
        <v>-30</v>
      </c>
      <c r="S84" s="197">
        <f>+R84-30</f>
        <v>-60</v>
      </c>
      <c r="T84" s="198"/>
      <c r="U84" s="198"/>
    </row>
    <row r="85" spans="1:21" s="194" customFormat="1" ht="12.75" x14ac:dyDescent="0.2">
      <c r="A85" s="190" t="s">
        <v>247</v>
      </c>
      <c r="B85" s="191">
        <v>45056</v>
      </c>
      <c r="C85" s="190" t="s">
        <v>248</v>
      </c>
      <c r="D85" s="192">
        <v>38.119999999999997</v>
      </c>
      <c r="E85" s="193">
        <v>29</v>
      </c>
      <c r="L85" s="191">
        <v>45056</v>
      </c>
      <c r="M85" s="195"/>
      <c r="N85" s="196">
        <f>+O85</f>
        <v>45061</v>
      </c>
      <c r="O85" s="191">
        <v>45061</v>
      </c>
      <c r="P85" s="197">
        <f>+L85-N85</f>
        <v>-5</v>
      </c>
      <c r="Q85" s="197">
        <f>+N85-O85</f>
        <v>0</v>
      </c>
      <c r="R85" s="197">
        <f>+L85-O85</f>
        <v>-5</v>
      </c>
      <c r="S85" s="197">
        <f>+R85-30</f>
        <v>-35</v>
      </c>
      <c r="T85" s="198"/>
      <c r="U85" s="198"/>
    </row>
    <row r="86" spans="1:21" s="194" customFormat="1" ht="12.75" x14ac:dyDescent="0.2">
      <c r="A86" s="190" t="s">
        <v>249</v>
      </c>
      <c r="B86" s="191">
        <v>45055</v>
      </c>
      <c r="C86" s="190" t="s">
        <v>250</v>
      </c>
      <c r="D86" s="192">
        <v>62.4</v>
      </c>
      <c r="E86" s="193">
        <v>29</v>
      </c>
      <c r="L86" s="191">
        <v>45055</v>
      </c>
      <c r="M86" s="195"/>
      <c r="N86" s="196">
        <f>+O86</f>
        <v>45061</v>
      </c>
      <c r="O86" s="191">
        <v>45061</v>
      </c>
      <c r="P86" s="197">
        <f>+L86-N86</f>
        <v>-6</v>
      </c>
      <c r="Q86" s="197">
        <f>+N86-O86</f>
        <v>0</v>
      </c>
      <c r="R86" s="197">
        <f>+L86-O86</f>
        <v>-6</v>
      </c>
      <c r="S86" s="197">
        <f>+R86-30</f>
        <v>-36</v>
      </c>
      <c r="T86" s="198"/>
      <c r="U86" s="198"/>
    </row>
    <row r="87" spans="1:21" s="194" customFormat="1" ht="12.75" x14ac:dyDescent="0.2">
      <c r="A87" s="190" t="s">
        <v>251</v>
      </c>
      <c r="B87" s="191">
        <v>45058</v>
      </c>
      <c r="C87" s="190" t="s">
        <v>252</v>
      </c>
      <c r="D87" s="192">
        <v>25.41</v>
      </c>
      <c r="E87" s="193">
        <v>29</v>
      </c>
      <c r="L87" s="191">
        <v>45058</v>
      </c>
      <c r="M87" s="195"/>
      <c r="N87" s="196">
        <f>+O87</f>
        <v>45061</v>
      </c>
      <c r="O87" s="191">
        <v>45061</v>
      </c>
      <c r="P87" s="197">
        <f>+L87-N87</f>
        <v>-3</v>
      </c>
      <c r="Q87" s="197">
        <f>+N87-O87</f>
        <v>0</v>
      </c>
      <c r="R87" s="197">
        <f>+L87-O87</f>
        <v>-3</v>
      </c>
      <c r="S87" s="197">
        <f>+R87-30</f>
        <v>-33</v>
      </c>
      <c r="T87" s="198"/>
      <c r="U87" s="198"/>
    </row>
    <row r="88" spans="1:21" s="194" customFormat="1" ht="12.75" x14ac:dyDescent="0.2">
      <c r="A88" s="190" t="s">
        <v>253</v>
      </c>
      <c r="B88" s="191">
        <v>45058</v>
      </c>
      <c r="C88" s="190" t="s">
        <v>254</v>
      </c>
      <c r="D88" s="192">
        <v>1000</v>
      </c>
      <c r="E88" s="193">
        <v>29</v>
      </c>
      <c r="L88" s="191">
        <v>45058</v>
      </c>
      <c r="M88" s="195"/>
      <c r="N88" s="196">
        <f>+O88</f>
        <v>45076</v>
      </c>
      <c r="O88" s="191">
        <v>45076</v>
      </c>
      <c r="P88" s="197">
        <f>+L88-N88</f>
        <v>-18</v>
      </c>
      <c r="Q88" s="197">
        <f>+N88-O88</f>
        <v>0</v>
      </c>
      <c r="R88" s="197">
        <f>+L88-O88</f>
        <v>-18</v>
      </c>
      <c r="S88" s="197">
        <f>+R88-30</f>
        <v>-48</v>
      </c>
      <c r="T88" s="198"/>
      <c r="U88" s="198"/>
    </row>
    <row r="89" spans="1:21" s="194" customFormat="1" ht="12.75" x14ac:dyDescent="0.2">
      <c r="A89" s="190" t="s">
        <v>255</v>
      </c>
      <c r="B89" s="191">
        <v>45076</v>
      </c>
      <c r="C89" s="190" t="s">
        <v>256</v>
      </c>
      <c r="D89" s="192">
        <v>10.85</v>
      </c>
      <c r="E89" s="193">
        <v>29</v>
      </c>
      <c r="L89" s="191">
        <v>45076</v>
      </c>
      <c r="M89" s="195"/>
      <c r="N89" s="196">
        <f>+O89</f>
        <v>45094</v>
      </c>
      <c r="O89" s="191">
        <v>45094</v>
      </c>
      <c r="P89" s="197">
        <f>+L89-N89</f>
        <v>-18</v>
      </c>
      <c r="Q89" s="197">
        <f>+N89-O89</f>
        <v>0</v>
      </c>
      <c r="R89" s="197">
        <f>+L89-O89</f>
        <v>-18</v>
      </c>
      <c r="S89" s="197">
        <f>+R89-30</f>
        <v>-48</v>
      </c>
      <c r="T89" s="198"/>
      <c r="U89" s="198"/>
    </row>
    <row r="90" spans="1:21" s="194" customFormat="1" ht="12.75" x14ac:dyDescent="0.2">
      <c r="A90" s="190" t="s">
        <v>257</v>
      </c>
      <c r="B90" s="191">
        <v>45076</v>
      </c>
      <c r="C90" s="190" t="s">
        <v>258</v>
      </c>
      <c r="D90" s="192">
        <v>11.38</v>
      </c>
      <c r="E90" s="193">
        <v>29</v>
      </c>
      <c r="L90" s="191">
        <v>45076</v>
      </c>
      <c r="M90" s="195"/>
      <c r="N90" s="196">
        <f>+O90</f>
        <v>45096</v>
      </c>
      <c r="O90" s="191">
        <v>45096</v>
      </c>
      <c r="P90" s="197">
        <f>+L90-N90</f>
        <v>-20</v>
      </c>
      <c r="Q90" s="197">
        <f>+N90-O90</f>
        <v>0</v>
      </c>
      <c r="R90" s="197">
        <f>+L90-O90</f>
        <v>-20</v>
      </c>
      <c r="S90" s="197">
        <f>+R90-30</f>
        <v>-50</v>
      </c>
      <c r="T90" s="198"/>
      <c r="U90" s="198"/>
    </row>
    <row r="91" spans="1:21" s="194" customFormat="1" ht="12.75" x14ac:dyDescent="0.2">
      <c r="A91" s="190" t="s">
        <v>259</v>
      </c>
      <c r="B91" s="191">
        <v>45076</v>
      </c>
      <c r="C91" s="190" t="s">
        <v>260</v>
      </c>
      <c r="D91" s="192">
        <v>48.21</v>
      </c>
      <c r="E91" s="193">
        <v>29</v>
      </c>
      <c r="L91" s="191">
        <v>45076</v>
      </c>
      <c r="M91" s="195"/>
      <c r="N91" s="196">
        <f>+O91</f>
        <v>45096</v>
      </c>
      <c r="O91" s="191">
        <v>45096</v>
      </c>
      <c r="P91" s="197">
        <f>+L91-N91</f>
        <v>-20</v>
      </c>
      <c r="Q91" s="197">
        <f>+N91-O91</f>
        <v>0</v>
      </c>
      <c r="R91" s="197">
        <f>+L91-O91</f>
        <v>-20</v>
      </c>
      <c r="S91" s="197">
        <f>+R91-30</f>
        <v>-50</v>
      </c>
      <c r="T91" s="198"/>
      <c r="U91" s="198"/>
    </row>
    <row r="92" spans="1:21" s="194" customFormat="1" ht="12.75" x14ac:dyDescent="0.2">
      <c r="A92" s="190" t="s">
        <v>261</v>
      </c>
      <c r="B92" s="191">
        <v>45076</v>
      </c>
      <c r="C92" s="190" t="s">
        <v>262</v>
      </c>
      <c r="D92" s="192">
        <v>18.329999999999998</v>
      </c>
      <c r="E92" s="193">
        <v>29</v>
      </c>
      <c r="L92" s="191">
        <v>45076</v>
      </c>
      <c r="M92" s="195"/>
      <c r="N92" s="196">
        <f>+O92</f>
        <v>45096</v>
      </c>
      <c r="O92" s="191">
        <v>45096</v>
      </c>
      <c r="P92" s="197">
        <f>+L92-N92</f>
        <v>-20</v>
      </c>
      <c r="Q92" s="197">
        <f>+N92-O92</f>
        <v>0</v>
      </c>
      <c r="R92" s="197">
        <f>+L92-O92</f>
        <v>-20</v>
      </c>
      <c r="S92" s="197">
        <f>+R92-30</f>
        <v>-50</v>
      </c>
      <c r="T92" s="198"/>
      <c r="U92" s="198"/>
    </row>
    <row r="93" spans="1:21" s="194" customFormat="1" ht="12.75" x14ac:dyDescent="0.2">
      <c r="A93" s="190" t="s">
        <v>263</v>
      </c>
      <c r="B93" s="191">
        <v>45076</v>
      </c>
      <c r="C93" s="190" t="s">
        <v>264</v>
      </c>
      <c r="D93" s="192">
        <v>28.09</v>
      </c>
      <c r="E93" s="193">
        <v>29</v>
      </c>
      <c r="L93" s="191">
        <v>45076</v>
      </c>
      <c r="M93" s="195"/>
      <c r="N93" s="196">
        <f>+O93</f>
        <v>45096</v>
      </c>
      <c r="O93" s="191">
        <v>45096</v>
      </c>
      <c r="P93" s="197">
        <f>+L93-N93</f>
        <v>-20</v>
      </c>
      <c r="Q93" s="197">
        <f>+N93-O93</f>
        <v>0</v>
      </c>
      <c r="R93" s="197">
        <f>+L93-O93</f>
        <v>-20</v>
      </c>
      <c r="S93" s="197">
        <f>+R93-30</f>
        <v>-50</v>
      </c>
      <c r="T93" s="198"/>
      <c r="U93" s="198"/>
    </row>
    <row r="94" spans="1:21" s="194" customFormat="1" ht="12.75" x14ac:dyDescent="0.2">
      <c r="A94" s="190" t="s">
        <v>265</v>
      </c>
      <c r="B94" s="191">
        <v>45076</v>
      </c>
      <c r="C94" s="190" t="s">
        <v>266</v>
      </c>
      <c r="D94" s="192">
        <v>57.56</v>
      </c>
      <c r="E94" s="193">
        <v>29</v>
      </c>
      <c r="L94" s="191">
        <v>45076</v>
      </c>
      <c r="M94" s="195"/>
      <c r="N94" s="196">
        <f>+O94</f>
        <v>45096</v>
      </c>
      <c r="O94" s="191">
        <v>45096</v>
      </c>
      <c r="P94" s="197">
        <f>+L94-N94</f>
        <v>-20</v>
      </c>
      <c r="Q94" s="197">
        <f>+N94-O94</f>
        <v>0</v>
      </c>
      <c r="R94" s="197">
        <f>+L94-O94</f>
        <v>-20</v>
      </c>
      <c r="S94" s="197">
        <f>+R94-30</f>
        <v>-50</v>
      </c>
      <c r="T94" s="198"/>
      <c r="U94" s="198"/>
    </row>
    <row r="95" spans="1:21" s="194" customFormat="1" ht="12.75" x14ac:dyDescent="0.2">
      <c r="A95" s="190" t="s">
        <v>267</v>
      </c>
      <c r="B95" s="191">
        <v>45076</v>
      </c>
      <c r="C95" s="190" t="s">
        <v>268</v>
      </c>
      <c r="D95" s="192">
        <v>13.2</v>
      </c>
      <c r="E95" s="193">
        <v>29</v>
      </c>
      <c r="L95" s="191">
        <v>45076</v>
      </c>
      <c r="M95" s="195"/>
      <c r="N95" s="196">
        <f>+O95</f>
        <v>45096</v>
      </c>
      <c r="O95" s="191">
        <v>45096</v>
      </c>
      <c r="P95" s="197">
        <f>+L95-N95</f>
        <v>-20</v>
      </c>
      <c r="Q95" s="197">
        <f>+N95-O95</f>
        <v>0</v>
      </c>
      <c r="R95" s="197">
        <f>+L95-O95</f>
        <v>-20</v>
      </c>
      <c r="S95" s="197">
        <f>+R95-30</f>
        <v>-50</v>
      </c>
      <c r="T95" s="198"/>
      <c r="U95" s="198"/>
    </row>
    <row r="96" spans="1:21" s="194" customFormat="1" ht="12.75" x14ac:dyDescent="0.2">
      <c r="A96" s="190" t="s">
        <v>269</v>
      </c>
      <c r="B96" s="191">
        <v>45076</v>
      </c>
      <c r="C96" s="190" t="s">
        <v>270</v>
      </c>
      <c r="D96" s="192">
        <v>27.6</v>
      </c>
      <c r="E96" s="193">
        <v>29</v>
      </c>
      <c r="L96" s="191">
        <v>45076</v>
      </c>
      <c r="M96" s="195"/>
      <c r="N96" s="196">
        <f>+O96</f>
        <v>45096</v>
      </c>
      <c r="O96" s="191">
        <v>45096</v>
      </c>
      <c r="P96" s="197">
        <f>+L96-N96</f>
        <v>-20</v>
      </c>
      <c r="Q96" s="197">
        <f>+N96-O96</f>
        <v>0</v>
      </c>
      <c r="R96" s="197">
        <f>+L96-O96</f>
        <v>-20</v>
      </c>
      <c r="S96" s="197">
        <f>+R96-30</f>
        <v>-50</v>
      </c>
      <c r="T96" s="198"/>
      <c r="U96" s="198"/>
    </row>
    <row r="97" spans="1:21" s="194" customFormat="1" ht="12.75" x14ac:dyDescent="0.2">
      <c r="A97" s="190" t="s">
        <v>271</v>
      </c>
      <c r="B97" s="191">
        <v>45076</v>
      </c>
      <c r="C97" s="190" t="s">
        <v>272</v>
      </c>
      <c r="D97" s="192">
        <v>5.1100000000000003</v>
      </c>
      <c r="E97" s="193">
        <v>29</v>
      </c>
      <c r="L97" s="191">
        <v>45076</v>
      </c>
      <c r="M97" s="195"/>
      <c r="N97" s="196">
        <f>+O97</f>
        <v>45096</v>
      </c>
      <c r="O97" s="191">
        <v>45096</v>
      </c>
      <c r="P97" s="197">
        <f>+L97-N97</f>
        <v>-20</v>
      </c>
      <c r="Q97" s="197">
        <f>+N97-O97</f>
        <v>0</v>
      </c>
      <c r="R97" s="197">
        <f>+L97-O97</f>
        <v>-20</v>
      </c>
      <c r="S97" s="197">
        <f>+R97-30</f>
        <v>-50</v>
      </c>
      <c r="T97" s="198"/>
      <c r="U97" s="198"/>
    </row>
    <row r="98" spans="1:21" s="194" customFormat="1" ht="12.75" x14ac:dyDescent="0.2">
      <c r="A98" s="190" t="s">
        <v>273</v>
      </c>
      <c r="B98" s="191">
        <v>45076</v>
      </c>
      <c r="C98" s="190" t="s">
        <v>274</v>
      </c>
      <c r="D98" s="192">
        <v>10.88</v>
      </c>
      <c r="E98" s="193">
        <v>29</v>
      </c>
      <c r="L98" s="191">
        <v>45076</v>
      </c>
      <c r="M98" s="195"/>
      <c r="N98" s="196">
        <f>+O98</f>
        <v>45096</v>
      </c>
      <c r="O98" s="191">
        <v>45096</v>
      </c>
      <c r="P98" s="197">
        <f>+L98-N98</f>
        <v>-20</v>
      </c>
      <c r="Q98" s="197">
        <f>+N98-O98</f>
        <v>0</v>
      </c>
      <c r="R98" s="197">
        <f>+L98-O98</f>
        <v>-20</v>
      </c>
      <c r="S98" s="197">
        <f>+R98-30</f>
        <v>-50</v>
      </c>
      <c r="T98" s="198"/>
      <c r="U98" s="198"/>
    </row>
    <row r="99" spans="1:21" s="194" customFormat="1" ht="12.75" x14ac:dyDescent="0.2">
      <c r="A99" s="190" t="s">
        <v>275</v>
      </c>
      <c r="B99" s="191">
        <v>45076</v>
      </c>
      <c r="C99" s="190" t="s">
        <v>276</v>
      </c>
      <c r="D99" s="192">
        <v>8.35</v>
      </c>
      <c r="E99" s="193">
        <v>29</v>
      </c>
      <c r="L99" s="191">
        <v>45076</v>
      </c>
      <c r="M99" s="195"/>
      <c r="N99" s="196">
        <f>+O99</f>
        <v>45096</v>
      </c>
      <c r="O99" s="191">
        <v>45096</v>
      </c>
      <c r="P99" s="197">
        <f>+L99-N99</f>
        <v>-20</v>
      </c>
      <c r="Q99" s="197">
        <f>+N99-O99</f>
        <v>0</v>
      </c>
      <c r="R99" s="197">
        <f>+L99-O99</f>
        <v>-20</v>
      </c>
      <c r="S99" s="197">
        <f>+R99-30</f>
        <v>-50</v>
      </c>
      <c r="T99" s="198"/>
      <c r="U99" s="198"/>
    </row>
    <row r="100" spans="1:21" s="194" customFormat="1" ht="12.75" x14ac:dyDescent="0.2">
      <c r="A100" s="190" t="s">
        <v>277</v>
      </c>
      <c r="B100" s="191">
        <v>45076</v>
      </c>
      <c r="C100" s="190" t="s">
        <v>278</v>
      </c>
      <c r="D100" s="192">
        <v>1242.08</v>
      </c>
      <c r="E100" s="193">
        <v>29</v>
      </c>
      <c r="L100" s="191">
        <v>45076</v>
      </c>
      <c r="M100" s="195"/>
      <c r="N100" s="196">
        <f>+O100</f>
        <v>45096</v>
      </c>
      <c r="O100" s="191">
        <v>45096</v>
      </c>
      <c r="P100" s="197">
        <f>+L100-N100</f>
        <v>-20</v>
      </c>
      <c r="Q100" s="197">
        <f>+N100-O100</f>
        <v>0</v>
      </c>
      <c r="R100" s="197">
        <f>+L100-O100</f>
        <v>-20</v>
      </c>
      <c r="S100" s="197">
        <f>+R100-30</f>
        <v>-50</v>
      </c>
      <c r="T100" s="198"/>
      <c r="U100" s="198"/>
    </row>
    <row r="101" spans="1:21" s="194" customFormat="1" ht="12.75" x14ac:dyDescent="0.2">
      <c r="A101" s="190" t="s">
        <v>279</v>
      </c>
      <c r="B101" s="191">
        <v>45076</v>
      </c>
      <c r="C101" s="190" t="s">
        <v>280</v>
      </c>
      <c r="D101" s="192">
        <v>412.68</v>
      </c>
      <c r="E101" s="193">
        <v>29</v>
      </c>
      <c r="L101" s="191">
        <v>45076</v>
      </c>
      <c r="M101" s="195"/>
      <c r="N101" s="196">
        <f>+O101</f>
        <v>45096</v>
      </c>
      <c r="O101" s="191">
        <v>45096</v>
      </c>
      <c r="P101" s="197">
        <f>+L101-N101</f>
        <v>-20</v>
      </c>
      <c r="Q101" s="197">
        <f>+N101-O101</f>
        <v>0</v>
      </c>
      <c r="R101" s="197">
        <f>+L101-O101</f>
        <v>-20</v>
      </c>
      <c r="S101" s="197">
        <f>+R101-30</f>
        <v>-50</v>
      </c>
      <c r="T101" s="198"/>
      <c r="U101" s="198"/>
    </row>
    <row r="102" spans="1:21" s="194" customFormat="1" ht="12.75" x14ac:dyDescent="0.2">
      <c r="A102" s="190" t="s">
        <v>281</v>
      </c>
      <c r="B102" s="191">
        <v>45076</v>
      </c>
      <c r="C102" s="190" t="s">
        <v>282</v>
      </c>
      <c r="D102" s="192">
        <v>364.52</v>
      </c>
      <c r="E102" s="193">
        <v>29</v>
      </c>
      <c r="L102" s="191">
        <v>45076</v>
      </c>
      <c r="M102" s="195"/>
      <c r="N102" s="196">
        <f>+O102</f>
        <v>45096</v>
      </c>
      <c r="O102" s="191">
        <v>45096</v>
      </c>
      <c r="P102" s="197">
        <f>+L102-N102</f>
        <v>-20</v>
      </c>
      <c r="Q102" s="197">
        <f>+N102-O102</f>
        <v>0</v>
      </c>
      <c r="R102" s="197">
        <f>+L102-O102</f>
        <v>-20</v>
      </c>
      <c r="S102" s="197">
        <f>+R102-30</f>
        <v>-50</v>
      </c>
      <c r="T102" s="198"/>
      <c r="U102" s="198"/>
    </row>
    <row r="103" spans="1:21" s="194" customFormat="1" ht="12.75" x14ac:dyDescent="0.2">
      <c r="A103" s="190" t="s">
        <v>283</v>
      </c>
      <c r="B103" s="191">
        <v>45076</v>
      </c>
      <c r="C103" s="190" t="s">
        <v>284</v>
      </c>
      <c r="D103" s="192">
        <v>506.47</v>
      </c>
      <c r="E103" s="193">
        <v>29</v>
      </c>
      <c r="L103" s="191">
        <v>45076</v>
      </c>
      <c r="M103" s="195"/>
      <c r="N103" s="196">
        <f>+O103</f>
        <v>45096</v>
      </c>
      <c r="O103" s="191">
        <v>45096</v>
      </c>
      <c r="P103" s="197">
        <f>+L103-N103</f>
        <v>-20</v>
      </c>
      <c r="Q103" s="197">
        <f>+N103-O103</f>
        <v>0</v>
      </c>
      <c r="R103" s="197">
        <f>+L103-O103</f>
        <v>-20</v>
      </c>
      <c r="S103" s="197">
        <f>+R103-30</f>
        <v>-50</v>
      </c>
      <c r="T103" s="198"/>
      <c r="U103" s="198"/>
    </row>
    <row r="104" spans="1:21" s="194" customFormat="1" ht="12.75" x14ac:dyDescent="0.2">
      <c r="A104" s="190" t="s">
        <v>285</v>
      </c>
      <c r="B104" s="191">
        <v>45076</v>
      </c>
      <c r="C104" s="190" t="s">
        <v>286</v>
      </c>
      <c r="D104" s="192">
        <v>362.53</v>
      </c>
      <c r="E104" s="193">
        <v>29</v>
      </c>
      <c r="L104" s="191">
        <v>45076</v>
      </c>
      <c r="M104" s="195"/>
      <c r="N104" s="196">
        <f>+O104</f>
        <v>45096</v>
      </c>
      <c r="O104" s="191">
        <v>45096</v>
      </c>
      <c r="P104" s="197">
        <f>+L104-N104</f>
        <v>-20</v>
      </c>
      <c r="Q104" s="197">
        <f>+N104-O104</f>
        <v>0</v>
      </c>
      <c r="R104" s="197">
        <f>+L104-O104</f>
        <v>-20</v>
      </c>
      <c r="S104" s="197">
        <f>+R104-30</f>
        <v>-50</v>
      </c>
      <c r="T104" s="198"/>
      <c r="U104" s="198"/>
    </row>
    <row r="105" spans="1:21" s="194" customFormat="1" ht="12.75" x14ac:dyDescent="0.2">
      <c r="A105" s="190" t="s">
        <v>287</v>
      </c>
      <c r="B105" s="191">
        <v>45077</v>
      </c>
      <c r="C105" s="190" t="s">
        <v>288</v>
      </c>
      <c r="D105" s="192">
        <v>254.1</v>
      </c>
      <c r="E105" s="193">
        <v>29</v>
      </c>
      <c r="L105" s="191">
        <v>45077</v>
      </c>
      <c r="M105" s="195"/>
      <c r="N105" s="196">
        <f>+O105</f>
        <v>45091</v>
      </c>
      <c r="O105" s="191">
        <v>45091</v>
      </c>
      <c r="P105" s="197">
        <f>+L105-N105</f>
        <v>-14</v>
      </c>
      <c r="Q105" s="197">
        <f>+N105-O105</f>
        <v>0</v>
      </c>
      <c r="R105" s="197">
        <f>+L105-O105</f>
        <v>-14</v>
      </c>
      <c r="S105" s="197">
        <f>+R105-30</f>
        <v>-44</v>
      </c>
      <c r="T105" s="198"/>
      <c r="U105" s="198"/>
    </row>
    <row r="106" spans="1:21" s="194" customFormat="1" ht="12.75" x14ac:dyDescent="0.2">
      <c r="A106" s="190" t="s">
        <v>289</v>
      </c>
      <c r="B106" s="191">
        <v>45077</v>
      </c>
      <c r="C106" s="190" t="s">
        <v>290</v>
      </c>
      <c r="D106" s="192">
        <v>254.1</v>
      </c>
      <c r="E106" s="193">
        <v>29</v>
      </c>
      <c r="L106" s="191">
        <v>45077</v>
      </c>
      <c r="M106" s="195"/>
      <c r="N106" s="196">
        <f>+O106</f>
        <v>45091</v>
      </c>
      <c r="O106" s="191">
        <v>45091</v>
      </c>
      <c r="P106" s="197">
        <f>+L106-N106</f>
        <v>-14</v>
      </c>
      <c r="Q106" s="197">
        <f>+N106-O106</f>
        <v>0</v>
      </c>
      <c r="R106" s="197">
        <f>+L106-O106</f>
        <v>-14</v>
      </c>
      <c r="S106" s="197">
        <f>+R106-30</f>
        <v>-44</v>
      </c>
      <c r="T106" s="198"/>
      <c r="U106" s="198"/>
    </row>
    <row r="107" spans="1:21" s="194" customFormat="1" ht="12.75" x14ac:dyDescent="0.2">
      <c r="A107" s="190" t="s">
        <v>291</v>
      </c>
      <c r="B107" s="191">
        <v>45093</v>
      </c>
      <c r="C107" s="190" t="s">
        <v>292</v>
      </c>
      <c r="D107" s="192">
        <v>38.119999999999997</v>
      </c>
      <c r="E107" s="193">
        <v>29</v>
      </c>
      <c r="L107" s="191">
        <v>45093</v>
      </c>
      <c r="M107" s="195"/>
      <c r="N107" s="196">
        <f>+O107</f>
        <v>45105</v>
      </c>
      <c r="O107" s="191">
        <v>45105</v>
      </c>
      <c r="P107" s="197">
        <f>+L107-N107</f>
        <v>-12</v>
      </c>
      <c r="Q107" s="197">
        <f>+N107-O107</f>
        <v>0</v>
      </c>
      <c r="R107" s="197">
        <f>+L107-O107</f>
        <v>-12</v>
      </c>
      <c r="S107" s="197">
        <f>+R107-30</f>
        <v>-42</v>
      </c>
      <c r="T107" s="198"/>
      <c r="U107" s="198"/>
    </row>
    <row r="108" spans="1:21" s="194" customFormat="1" ht="12.75" x14ac:dyDescent="0.2">
      <c r="A108" s="190" t="s">
        <v>293</v>
      </c>
      <c r="B108" s="191">
        <v>45092</v>
      </c>
      <c r="C108" s="190" t="s">
        <v>294</v>
      </c>
      <c r="D108" s="192">
        <v>35.200000000000003</v>
      </c>
      <c r="E108" s="193">
        <v>29</v>
      </c>
      <c r="L108" s="191">
        <v>45092</v>
      </c>
      <c r="M108" s="195"/>
      <c r="N108" s="196">
        <f>+O108</f>
        <v>45105</v>
      </c>
      <c r="O108" s="191">
        <v>45105</v>
      </c>
      <c r="P108" s="197">
        <f>+L108-N108</f>
        <v>-13</v>
      </c>
      <c r="Q108" s="197">
        <f>+N108-O108</f>
        <v>0</v>
      </c>
      <c r="R108" s="197">
        <f>+L108-O108</f>
        <v>-13</v>
      </c>
      <c r="S108" s="197">
        <f>+R108-30</f>
        <v>-43</v>
      </c>
      <c r="T108" s="198"/>
      <c r="U108" s="198"/>
    </row>
    <row r="109" spans="1:21" s="194" customFormat="1" ht="12.75" x14ac:dyDescent="0.2">
      <c r="A109" s="190" t="s">
        <v>295</v>
      </c>
      <c r="B109" s="191">
        <v>45057</v>
      </c>
      <c r="C109" s="190" t="s">
        <v>296</v>
      </c>
      <c r="D109" s="192">
        <v>84.85</v>
      </c>
      <c r="E109" s="193">
        <v>29</v>
      </c>
      <c r="L109" s="191">
        <v>45057</v>
      </c>
      <c r="M109" s="195"/>
      <c r="N109" s="196">
        <f>+O109</f>
        <v>45107</v>
      </c>
      <c r="O109" s="191">
        <v>45107</v>
      </c>
      <c r="P109" s="197">
        <f>+L109-N109</f>
        <v>-50</v>
      </c>
      <c r="Q109" s="197">
        <f>+N109-O109</f>
        <v>0</v>
      </c>
      <c r="R109" s="197">
        <f>+L109-O109</f>
        <v>-50</v>
      </c>
      <c r="S109" s="197">
        <f>+R109-30</f>
        <v>-80</v>
      </c>
      <c r="T109" s="198"/>
      <c r="U109" s="198"/>
    </row>
    <row r="110" spans="1:21" s="194" customFormat="1" ht="12.75" x14ac:dyDescent="0.2">
      <c r="A110" s="190" t="s">
        <v>297</v>
      </c>
      <c r="B110" s="191">
        <v>45057</v>
      </c>
      <c r="C110" s="190" t="s">
        <v>298</v>
      </c>
      <c r="D110" s="192">
        <v>374</v>
      </c>
      <c r="E110" s="193">
        <v>29</v>
      </c>
      <c r="L110" s="191">
        <v>45057</v>
      </c>
      <c r="M110" s="195"/>
      <c r="N110" s="196">
        <f>+O110</f>
        <v>45107</v>
      </c>
      <c r="O110" s="191">
        <v>45107</v>
      </c>
      <c r="P110" s="197">
        <f>+L110-N110</f>
        <v>-50</v>
      </c>
      <c r="Q110" s="197">
        <f>+N110-O110</f>
        <v>0</v>
      </c>
      <c r="R110" s="197">
        <f>+L110-O110</f>
        <v>-50</v>
      </c>
      <c r="S110" s="197">
        <f>+R110-30</f>
        <v>-80</v>
      </c>
      <c r="T110" s="198"/>
      <c r="U110" s="198"/>
    </row>
    <row r="111" spans="1:21" s="194" customFormat="1" ht="12.75" x14ac:dyDescent="0.2">
      <c r="A111" s="190" t="s">
        <v>299</v>
      </c>
      <c r="B111" s="191">
        <v>45057</v>
      </c>
      <c r="C111" s="190" t="s">
        <v>300</v>
      </c>
      <c r="D111" s="192">
        <v>121.22</v>
      </c>
      <c r="E111" s="193">
        <v>29</v>
      </c>
      <c r="L111" s="191">
        <v>45057</v>
      </c>
      <c r="M111" s="195"/>
      <c r="N111" s="196">
        <f>+O111</f>
        <v>45107</v>
      </c>
      <c r="O111" s="191">
        <v>45107</v>
      </c>
      <c r="P111" s="197">
        <f>+L111-N111</f>
        <v>-50</v>
      </c>
      <c r="Q111" s="197">
        <f>+N111-O111</f>
        <v>0</v>
      </c>
      <c r="R111" s="197">
        <f>+L111-O111</f>
        <v>-50</v>
      </c>
      <c r="S111" s="197">
        <f>+R111-30</f>
        <v>-80</v>
      </c>
      <c r="T111" s="198"/>
      <c r="U111" s="198"/>
    </row>
    <row r="112" spans="1:21" s="194" customFormat="1" ht="12.75" x14ac:dyDescent="0.2">
      <c r="A112" s="190" t="s">
        <v>301</v>
      </c>
      <c r="B112" s="191">
        <v>45057</v>
      </c>
      <c r="C112" s="190" t="s">
        <v>302</v>
      </c>
      <c r="D112" s="192">
        <v>121.22</v>
      </c>
      <c r="E112" s="193">
        <v>29</v>
      </c>
      <c r="L112" s="191">
        <v>45057</v>
      </c>
      <c r="M112" s="195"/>
      <c r="N112" s="196">
        <f>+O112</f>
        <v>45107</v>
      </c>
      <c r="O112" s="191">
        <v>45107</v>
      </c>
      <c r="P112" s="197">
        <f>+L112-N112</f>
        <v>-50</v>
      </c>
      <c r="Q112" s="197">
        <f>+N112-O112</f>
        <v>0</v>
      </c>
      <c r="R112" s="197">
        <f>+L112-O112</f>
        <v>-50</v>
      </c>
      <c r="S112" s="197">
        <f>+R112-30</f>
        <v>-80</v>
      </c>
      <c r="T112" s="198"/>
      <c r="U112" s="198"/>
    </row>
    <row r="113" spans="1:21" s="194" customFormat="1" ht="12.75" x14ac:dyDescent="0.2">
      <c r="A113" s="190" t="s">
        <v>303</v>
      </c>
      <c r="B113" s="191">
        <v>45077</v>
      </c>
      <c r="C113" s="190" t="s">
        <v>304</v>
      </c>
      <c r="D113" s="192">
        <v>1089</v>
      </c>
      <c r="E113" s="193">
        <v>29</v>
      </c>
      <c r="L113" s="191">
        <v>45077</v>
      </c>
      <c r="M113" s="195"/>
      <c r="N113" s="196">
        <f>+O113</f>
        <v>45092</v>
      </c>
      <c r="O113" s="191">
        <v>45092</v>
      </c>
      <c r="P113" s="197">
        <f>+L113-N113</f>
        <v>-15</v>
      </c>
      <c r="Q113" s="197">
        <f>+N113-O113</f>
        <v>0</v>
      </c>
      <c r="R113" s="197">
        <f>+L113-O113</f>
        <v>-15</v>
      </c>
      <c r="S113" s="197">
        <f>+R113-30</f>
        <v>-45</v>
      </c>
      <c r="T113" s="198"/>
      <c r="U113" s="198"/>
    </row>
    <row r="114" spans="1:21" s="194" customFormat="1" ht="12.75" x14ac:dyDescent="0.2">
      <c r="A114" s="190" t="s">
        <v>305</v>
      </c>
      <c r="B114" s="191">
        <v>45077</v>
      </c>
      <c r="C114" s="190" t="s">
        <v>306</v>
      </c>
      <c r="D114" s="192">
        <v>962.99</v>
      </c>
      <c r="E114" s="193">
        <v>29</v>
      </c>
      <c r="L114" s="191">
        <v>45077</v>
      </c>
      <c r="M114" s="195"/>
      <c r="N114" s="196">
        <f>+O114</f>
        <v>45107</v>
      </c>
      <c r="O114" s="191">
        <v>45107</v>
      </c>
      <c r="P114" s="197">
        <f>+L114-N114</f>
        <v>-30</v>
      </c>
      <c r="Q114" s="197">
        <f>+N114-O114</f>
        <v>0</v>
      </c>
      <c r="R114" s="197">
        <f>+L114-O114</f>
        <v>-30</v>
      </c>
      <c r="S114" s="197">
        <f>+R114-30</f>
        <v>-60</v>
      </c>
      <c r="T114" s="198"/>
      <c r="U114" s="198"/>
    </row>
    <row r="115" spans="1:21" s="194" customFormat="1" ht="12.75" x14ac:dyDescent="0.2">
      <c r="A115" s="190" t="s">
        <v>307</v>
      </c>
      <c r="B115" s="191">
        <v>45078</v>
      </c>
      <c r="C115" s="190" t="s">
        <v>308</v>
      </c>
      <c r="D115" s="192">
        <v>0.25</v>
      </c>
      <c r="E115" s="193">
        <v>29</v>
      </c>
      <c r="L115" s="191">
        <v>45078</v>
      </c>
      <c r="M115" s="195"/>
      <c r="N115" s="196">
        <f>+O115</f>
        <v>45078</v>
      </c>
      <c r="O115" s="191">
        <v>45078</v>
      </c>
      <c r="P115" s="197">
        <f>+L115-N115</f>
        <v>0</v>
      </c>
      <c r="Q115" s="197">
        <f>+N115-O115</f>
        <v>0</v>
      </c>
      <c r="R115" s="197">
        <f>+L115-O115</f>
        <v>0</v>
      </c>
      <c r="S115" s="197">
        <f>+R115-30</f>
        <v>-30</v>
      </c>
      <c r="T115" s="198"/>
      <c r="U115" s="198"/>
    </row>
    <row r="116" spans="1:21" s="194" customFormat="1" ht="12.75" x14ac:dyDescent="0.2">
      <c r="A116" s="190" t="s">
        <v>309</v>
      </c>
      <c r="B116" s="191">
        <v>45078</v>
      </c>
      <c r="C116" s="190" t="s">
        <v>310</v>
      </c>
      <c r="D116" s="192">
        <v>137.34</v>
      </c>
      <c r="E116" s="193">
        <v>29</v>
      </c>
      <c r="L116" s="191">
        <v>45078</v>
      </c>
      <c r="M116" s="195"/>
      <c r="N116" s="196">
        <f>+O116</f>
        <v>45078</v>
      </c>
      <c r="O116" s="191">
        <v>45078</v>
      </c>
      <c r="P116" s="197">
        <f>+L116-N116</f>
        <v>0</v>
      </c>
      <c r="Q116" s="197">
        <f>+N116-O116</f>
        <v>0</v>
      </c>
      <c r="R116" s="197">
        <f>+L116-O116</f>
        <v>0</v>
      </c>
      <c r="S116" s="197">
        <f>+R116-30</f>
        <v>-30</v>
      </c>
      <c r="T116" s="198"/>
      <c r="U116" s="198"/>
    </row>
    <row r="117" spans="1:21" s="194" customFormat="1" ht="12.75" x14ac:dyDescent="0.2">
      <c r="A117" s="190" t="s">
        <v>311</v>
      </c>
      <c r="B117" s="191">
        <v>45071</v>
      </c>
      <c r="C117" s="190" t="s">
        <v>312</v>
      </c>
      <c r="D117" s="192">
        <v>77.36</v>
      </c>
      <c r="E117" s="193">
        <v>29</v>
      </c>
      <c r="L117" s="191">
        <v>45071</v>
      </c>
      <c r="M117" s="195"/>
      <c r="N117" s="196">
        <f>+O117</f>
        <v>45071</v>
      </c>
      <c r="O117" s="191">
        <v>45071</v>
      </c>
      <c r="P117" s="197">
        <f>+L117-N117</f>
        <v>0</v>
      </c>
      <c r="Q117" s="197">
        <f>+N117-O117</f>
        <v>0</v>
      </c>
      <c r="R117" s="197">
        <f>+L117-O117</f>
        <v>0</v>
      </c>
      <c r="S117" s="197">
        <f>+R117-30</f>
        <v>-30</v>
      </c>
      <c r="T117" s="198"/>
      <c r="U117" s="198"/>
    </row>
    <row r="118" spans="1:21" s="194" customFormat="1" ht="12.75" x14ac:dyDescent="0.2">
      <c r="A118" s="190" t="s">
        <v>313</v>
      </c>
      <c r="B118" s="191">
        <v>45077</v>
      </c>
      <c r="C118" s="190" t="s">
        <v>314</v>
      </c>
      <c r="D118" s="192">
        <v>168.01</v>
      </c>
      <c r="E118" s="193">
        <v>29</v>
      </c>
      <c r="L118" s="191">
        <v>45077</v>
      </c>
      <c r="M118" s="195"/>
      <c r="N118" s="196">
        <f>+O118</f>
        <v>45082</v>
      </c>
      <c r="O118" s="191">
        <v>45082</v>
      </c>
      <c r="P118" s="197">
        <f>+L118-N118</f>
        <v>-5</v>
      </c>
      <c r="Q118" s="197">
        <f>+N118-O118</f>
        <v>0</v>
      </c>
      <c r="R118" s="197">
        <f>+L118-O118</f>
        <v>-5</v>
      </c>
      <c r="S118" s="197">
        <f>+R118-30</f>
        <v>-35</v>
      </c>
      <c r="T118" s="198"/>
      <c r="U118" s="198"/>
    </row>
    <row r="119" spans="1:21" s="194" customFormat="1" ht="12.75" x14ac:dyDescent="0.2">
      <c r="A119" s="190" t="s">
        <v>315</v>
      </c>
      <c r="B119" s="191">
        <v>45028</v>
      </c>
      <c r="C119" s="190" t="s">
        <v>316</v>
      </c>
      <c r="D119" s="192">
        <v>13.03</v>
      </c>
      <c r="E119" s="193">
        <v>29</v>
      </c>
      <c r="L119" s="191">
        <v>45028</v>
      </c>
      <c r="M119" s="195"/>
      <c r="N119" s="196">
        <f>+O119</f>
        <v>45048</v>
      </c>
      <c r="O119" s="191">
        <v>45048</v>
      </c>
      <c r="P119" s="197">
        <f>+L119-N119</f>
        <v>-20</v>
      </c>
      <c r="Q119" s="197">
        <f>+N119-O119</f>
        <v>0</v>
      </c>
      <c r="R119" s="197">
        <f>+L119-O119</f>
        <v>-20</v>
      </c>
      <c r="S119" s="197">
        <f>+R119-30</f>
        <v>-50</v>
      </c>
      <c r="T119" s="198"/>
      <c r="U119" s="198"/>
    </row>
    <row r="120" spans="1:21" s="194" customFormat="1" ht="12.75" x14ac:dyDescent="0.2">
      <c r="A120" s="190" t="s">
        <v>317</v>
      </c>
      <c r="B120" s="191">
        <v>45034</v>
      </c>
      <c r="C120" s="190" t="s">
        <v>318</v>
      </c>
      <c r="D120" s="192">
        <v>10.26</v>
      </c>
      <c r="E120" s="193">
        <v>29</v>
      </c>
      <c r="L120" s="191">
        <v>45034</v>
      </c>
      <c r="M120" s="195"/>
      <c r="N120" s="196">
        <f>+O120</f>
        <v>45042</v>
      </c>
      <c r="O120" s="191">
        <v>45042</v>
      </c>
      <c r="P120" s="197">
        <f>+L120-N120</f>
        <v>-8</v>
      </c>
      <c r="Q120" s="197">
        <f>+N120-O120</f>
        <v>0</v>
      </c>
      <c r="R120" s="197">
        <f>+L120-O120</f>
        <v>-8</v>
      </c>
      <c r="S120" s="197">
        <f>+R120-30</f>
        <v>-38</v>
      </c>
      <c r="T120" s="198"/>
      <c r="U120" s="198"/>
    </row>
    <row r="121" spans="1:21" s="194" customFormat="1" ht="12.75" x14ac:dyDescent="0.2">
      <c r="A121" s="190" t="s">
        <v>319</v>
      </c>
      <c r="B121" s="191">
        <v>45062</v>
      </c>
      <c r="C121" s="190" t="s">
        <v>320</v>
      </c>
      <c r="D121" s="192">
        <v>16.940000000000001</v>
      </c>
      <c r="E121" s="193">
        <v>29</v>
      </c>
      <c r="L121" s="191">
        <v>45061</v>
      </c>
      <c r="M121" s="195"/>
      <c r="N121" s="196">
        <f>+O121</f>
        <v>45078</v>
      </c>
      <c r="O121" s="191">
        <v>45078</v>
      </c>
      <c r="P121" s="197">
        <f>+L121-N121</f>
        <v>-17</v>
      </c>
      <c r="Q121" s="197">
        <f>+N121-O121</f>
        <v>0</v>
      </c>
      <c r="R121" s="197">
        <f>+L121-O121</f>
        <v>-17</v>
      </c>
      <c r="S121" s="197">
        <f>+R121-30</f>
        <v>-47</v>
      </c>
      <c r="T121" s="198"/>
      <c r="U121" s="198"/>
    </row>
    <row r="122" spans="1:21" s="194" customFormat="1" ht="12.75" x14ac:dyDescent="0.2">
      <c r="A122" s="190" t="s">
        <v>321</v>
      </c>
      <c r="B122" s="191">
        <v>45061</v>
      </c>
      <c r="C122" s="190" t="s">
        <v>322</v>
      </c>
      <c r="D122" s="192">
        <v>94.5</v>
      </c>
      <c r="E122" s="193">
        <v>29</v>
      </c>
      <c r="L122" s="191">
        <v>45061</v>
      </c>
      <c r="M122" s="195"/>
      <c r="N122" s="196">
        <f>+O122</f>
        <v>45063</v>
      </c>
      <c r="O122" s="191">
        <v>45063</v>
      </c>
      <c r="P122" s="197">
        <f>+L122-N122</f>
        <v>-2</v>
      </c>
      <c r="Q122" s="197">
        <f>+N122-O122</f>
        <v>0</v>
      </c>
      <c r="R122" s="197">
        <f>+L122-O122</f>
        <v>-2</v>
      </c>
      <c r="S122" s="197">
        <f>+R122-30</f>
        <v>-32</v>
      </c>
      <c r="T122" s="198"/>
      <c r="U122" s="198"/>
    </row>
    <row r="123" spans="1:21" s="194" customFormat="1" ht="12.75" x14ac:dyDescent="0.2">
      <c r="A123" s="190" t="s">
        <v>323</v>
      </c>
      <c r="B123" s="191">
        <v>45061</v>
      </c>
      <c r="C123" s="190" t="s">
        <v>324</v>
      </c>
      <c r="D123" s="192">
        <v>45.2</v>
      </c>
      <c r="E123" s="193">
        <v>29</v>
      </c>
      <c r="L123" s="191">
        <v>45061</v>
      </c>
      <c r="M123" s="195"/>
      <c r="N123" s="196">
        <f>+O123</f>
        <v>45063</v>
      </c>
      <c r="O123" s="191">
        <v>45063</v>
      </c>
      <c r="P123" s="197">
        <f>+L123-N123</f>
        <v>-2</v>
      </c>
      <c r="Q123" s="197">
        <f>+N123-O123</f>
        <v>0</v>
      </c>
      <c r="R123" s="197">
        <f>+L123-O123</f>
        <v>-2</v>
      </c>
      <c r="S123" s="197">
        <f>+R123-30</f>
        <v>-32</v>
      </c>
      <c r="T123" s="198"/>
      <c r="U123" s="198"/>
    </row>
    <row r="124" spans="1:21" s="194" customFormat="1" ht="12.75" x14ac:dyDescent="0.2">
      <c r="A124" s="190" t="s">
        <v>325</v>
      </c>
      <c r="B124" s="191">
        <v>45062</v>
      </c>
      <c r="C124" s="190" t="s">
        <v>326</v>
      </c>
      <c r="D124" s="192">
        <v>40</v>
      </c>
      <c r="E124" s="193">
        <v>29</v>
      </c>
      <c r="L124" s="191">
        <v>45062</v>
      </c>
      <c r="M124" s="195"/>
      <c r="N124" s="196">
        <f>+O124</f>
        <v>45075</v>
      </c>
      <c r="O124" s="191">
        <v>45075</v>
      </c>
      <c r="P124" s="197">
        <f>+L124-N124</f>
        <v>-13</v>
      </c>
      <c r="Q124" s="197">
        <f>+N124-O124</f>
        <v>0</v>
      </c>
      <c r="R124" s="197">
        <f>+L124-O124</f>
        <v>-13</v>
      </c>
      <c r="S124" s="197">
        <f>+R124-30</f>
        <v>-43</v>
      </c>
      <c r="T124" s="198"/>
      <c r="U124" s="198"/>
    </row>
    <row r="125" spans="1:21" s="194" customFormat="1" ht="12.75" x14ac:dyDescent="0.2">
      <c r="A125" s="190" t="s">
        <v>327</v>
      </c>
      <c r="B125" s="191">
        <v>45046</v>
      </c>
      <c r="C125" s="190" t="s">
        <v>328</v>
      </c>
      <c r="D125" s="192">
        <v>254.1</v>
      </c>
      <c r="E125" s="193">
        <v>29</v>
      </c>
      <c r="L125" s="191">
        <v>45046</v>
      </c>
      <c r="M125" s="195"/>
      <c r="N125" s="196">
        <f>+O125</f>
        <v>45076</v>
      </c>
      <c r="O125" s="191">
        <v>45076</v>
      </c>
      <c r="P125" s="197">
        <f>+L125-N125</f>
        <v>-30</v>
      </c>
      <c r="Q125" s="197">
        <f>+N125-O125</f>
        <v>0</v>
      </c>
      <c r="R125" s="197">
        <f>+L125-O125</f>
        <v>-30</v>
      </c>
      <c r="S125" s="197">
        <f>+R125-30</f>
        <v>-60</v>
      </c>
      <c r="T125" s="198"/>
      <c r="U125" s="198"/>
    </row>
    <row r="126" spans="1:21" s="194" customFormat="1" ht="12.75" x14ac:dyDescent="0.2">
      <c r="A126" s="190" t="s">
        <v>329</v>
      </c>
      <c r="B126" s="191">
        <v>45046</v>
      </c>
      <c r="C126" s="190" t="s">
        <v>330</v>
      </c>
      <c r="D126" s="192">
        <v>108.9</v>
      </c>
      <c r="E126" s="193">
        <v>29</v>
      </c>
      <c r="L126" s="191">
        <v>45046</v>
      </c>
      <c r="M126" s="195"/>
      <c r="N126" s="196">
        <f>+O126</f>
        <v>45076</v>
      </c>
      <c r="O126" s="191">
        <v>45076</v>
      </c>
      <c r="P126" s="197">
        <f>+L126-N126</f>
        <v>-30</v>
      </c>
      <c r="Q126" s="197">
        <f>+N126-O126</f>
        <v>0</v>
      </c>
      <c r="R126" s="197">
        <f>+L126-O126</f>
        <v>-30</v>
      </c>
      <c r="S126" s="197">
        <f>+R126-30</f>
        <v>-60</v>
      </c>
      <c r="T126" s="198"/>
      <c r="U126" s="198"/>
    </row>
    <row r="127" spans="1:21" s="194" customFormat="1" ht="12.75" x14ac:dyDescent="0.2">
      <c r="A127" s="190" t="s">
        <v>331</v>
      </c>
      <c r="B127" s="191">
        <v>45046</v>
      </c>
      <c r="C127" s="190" t="s">
        <v>332</v>
      </c>
      <c r="D127" s="192">
        <v>145.19999999999999</v>
      </c>
      <c r="E127" s="193">
        <v>29</v>
      </c>
      <c r="L127" s="191">
        <v>45046</v>
      </c>
      <c r="M127" s="195"/>
      <c r="N127" s="196">
        <f>+O127</f>
        <v>45076</v>
      </c>
      <c r="O127" s="191">
        <v>45076</v>
      </c>
      <c r="P127" s="197">
        <f>+L127-N127</f>
        <v>-30</v>
      </c>
      <c r="Q127" s="197">
        <f>+N127-O127</f>
        <v>0</v>
      </c>
      <c r="R127" s="197">
        <f>+L127-O127</f>
        <v>-30</v>
      </c>
      <c r="S127" s="197">
        <f>+R127-30</f>
        <v>-60</v>
      </c>
      <c r="T127" s="198"/>
      <c r="U127" s="198"/>
    </row>
    <row r="128" spans="1:21" s="194" customFormat="1" ht="12.75" x14ac:dyDescent="0.2">
      <c r="A128" s="190" t="s">
        <v>333</v>
      </c>
      <c r="B128" s="191">
        <v>45076</v>
      </c>
      <c r="C128" s="190" t="s">
        <v>334</v>
      </c>
      <c r="D128" s="192">
        <v>200</v>
      </c>
      <c r="E128" s="193">
        <v>29</v>
      </c>
      <c r="L128" s="191">
        <v>45076</v>
      </c>
      <c r="M128" s="195"/>
      <c r="N128" s="196">
        <f>+O128</f>
        <v>45092</v>
      </c>
      <c r="O128" s="191">
        <v>45092</v>
      </c>
      <c r="P128" s="197">
        <f>+L128-N128</f>
        <v>-16</v>
      </c>
      <c r="Q128" s="197">
        <f>+N128-O128</f>
        <v>0</v>
      </c>
      <c r="R128" s="197">
        <f>+L128-O128</f>
        <v>-16</v>
      </c>
      <c r="S128" s="197">
        <f>+R128-30</f>
        <v>-46</v>
      </c>
      <c r="T128" s="198"/>
      <c r="U128" s="198"/>
    </row>
    <row r="129" spans="1:21" s="194" customFormat="1" ht="12.75" x14ac:dyDescent="0.2">
      <c r="A129" s="190" t="s">
        <v>335</v>
      </c>
      <c r="B129" s="191">
        <v>45077</v>
      </c>
      <c r="C129" s="190" t="s">
        <v>336</v>
      </c>
      <c r="D129" s="192">
        <v>1464.06</v>
      </c>
      <c r="E129" s="193">
        <v>29</v>
      </c>
      <c r="L129" s="191">
        <v>45077</v>
      </c>
      <c r="M129" s="195"/>
      <c r="N129" s="196">
        <f>+O129</f>
        <v>45077</v>
      </c>
      <c r="O129" s="191">
        <v>45077</v>
      </c>
      <c r="P129" s="197">
        <f>+L129-N129</f>
        <v>0</v>
      </c>
      <c r="Q129" s="197">
        <f>+N129-O129</f>
        <v>0</v>
      </c>
      <c r="R129" s="197">
        <f>+L129-O129</f>
        <v>0</v>
      </c>
      <c r="S129" s="197">
        <f>+R129-30</f>
        <v>-30</v>
      </c>
      <c r="T129" s="198"/>
      <c r="U129" s="198"/>
    </row>
    <row r="130" spans="1:21" s="194" customFormat="1" ht="12.75" x14ac:dyDescent="0.2">
      <c r="A130" s="190" t="s">
        <v>337</v>
      </c>
      <c r="B130" s="191">
        <v>45077</v>
      </c>
      <c r="C130" s="190" t="s">
        <v>338</v>
      </c>
      <c r="D130" s="192">
        <v>1108.17</v>
      </c>
      <c r="E130" s="193">
        <v>29</v>
      </c>
      <c r="L130" s="191">
        <v>45077</v>
      </c>
      <c r="M130" s="195"/>
      <c r="N130" s="196">
        <f>+O130</f>
        <v>45077</v>
      </c>
      <c r="O130" s="191">
        <v>45077</v>
      </c>
      <c r="P130" s="197">
        <f>+L130-N130</f>
        <v>0</v>
      </c>
      <c r="Q130" s="197">
        <f>+N130-O130</f>
        <v>0</v>
      </c>
      <c r="R130" s="197">
        <f>+L130-O130</f>
        <v>0</v>
      </c>
      <c r="S130" s="197">
        <f>+R130-30</f>
        <v>-30</v>
      </c>
      <c r="T130" s="198"/>
      <c r="U130" s="198"/>
    </row>
    <row r="131" spans="1:21" s="194" customFormat="1" ht="12.75" x14ac:dyDescent="0.2">
      <c r="A131" s="190" t="s">
        <v>339</v>
      </c>
      <c r="B131" s="191">
        <v>45076</v>
      </c>
      <c r="C131" s="190" t="s">
        <v>340</v>
      </c>
      <c r="D131" s="192">
        <v>1000</v>
      </c>
      <c r="E131" s="193">
        <v>29</v>
      </c>
      <c r="L131" s="191">
        <v>45076</v>
      </c>
      <c r="M131" s="195"/>
      <c r="N131" s="196">
        <f>+O131</f>
        <v>45092</v>
      </c>
      <c r="O131" s="191">
        <v>45092</v>
      </c>
      <c r="P131" s="197">
        <f>+L131-N131</f>
        <v>-16</v>
      </c>
      <c r="Q131" s="197">
        <f>+N131-O131</f>
        <v>0</v>
      </c>
      <c r="R131" s="197">
        <f>+L131-O131</f>
        <v>-16</v>
      </c>
      <c r="S131" s="197">
        <f>+R131-30</f>
        <v>-46</v>
      </c>
      <c r="T131" s="198"/>
      <c r="U131" s="198"/>
    </row>
    <row r="132" spans="1:21" s="194" customFormat="1" ht="12.75" x14ac:dyDescent="0.2">
      <c r="A132" s="190" t="s">
        <v>341</v>
      </c>
      <c r="B132" s="191">
        <v>45033</v>
      </c>
      <c r="C132" s="190" t="s">
        <v>342</v>
      </c>
      <c r="D132" s="192">
        <v>50</v>
      </c>
      <c r="E132" s="193">
        <v>29</v>
      </c>
      <c r="L132" s="191">
        <v>45033</v>
      </c>
      <c r="M132" s="195"/>
      <c r="N132" s="196">
        <f>+O132</f>
        <v>45033</v>
      </c>
      <c r="O132" s="191">
        <v>45033</v>
      </c>
      <c r="P132" s="197">
        <f>+L132-N132</f>
        <v>0</v>
      </c>
      <c r="Q132" s="197">
        <f>+N132-O132</f>
        <v>0</v>
      </c>
      <c r="R132" s="197">
        <f>+L132-O132</f>
        <v>0</v>
      </c>
      <c r="S132" s="197">
        <f>+R132-30</f>
        <v>-30</v>
      </c>
      <c r="T132" s="198"/>
      <c r="U132" s="198"/>
    </row>
    <row r="133" spans="1:21" s="194" customFormat="1" ht="12.75" x14ac:dyDescent="0.2">
      <c r="A133" s="190" t="s">
        <v>343</v>
      </c>
      <c r="B133" s="191">
        <v>45065</v>
      </c>
      <c r="C133" s="190" t="s">
        <v>344</v>
      </c>
      <c r="D133" s="192">
        <v>110.75</v>
      </c>
      <c r="E133" s="193">
        <v>29</v>
      </c>
      <c r="L133" s="191">
        <v>45065</v>
      </c>
      <c r="M133" s="195"/>
      <c r="N133" s="196">
        <f>+O133</f>
        <v>45076</v>
      </c>
      <c r="O133" s="191">
        <v>45076</v>
      </c>
      <c r="P133" s="197">
        <f>+L133-N133</f>
        <v>-11</v>
      </c>
      <c r="Q133" s="197">
        <f>+N133-O133</f>
        <v>0</v>
      </c>
      <c r="R133" s="197">
        <f>+L133-O133</f>
        <v>-11</v>
      </c>
      <c r="S133" s="197">
        <f>+R133-30</f>
        <v>-41</v>
      </c>
      <c r="T133" s="198"/>
      <c r="U133" s="198"/>
    </row>
    <row r="134" spans="1:21" s="194" customFormat="1" ht="12.75" x14ac:dyDescent="0.2">
      <c r="A134" s="190" t="s">
        <v>345</v>
      </c>
      <c r="B134" s="191">
        <v>45077</v>
      </c>
      <c r="C134" s="190" t="s">
        <v>346</v>
      </c>
      <c r="D134" s="192">
        <v>701.8</v>
      </c>
      <c r="E134" s="193">
        <v>29</v>
      </c>
      <c r="L134" s="191">
        <v>45077</v>
      </c>
      <c r="M134" s="195"/>
      <c r="N134" s="196">
        <f>+O134</f>
        <v>45092</v>
      </c>
      <c r="O134" s="191">
        <v>45092</v>
      </c>
      <c r="P134" s="197">
        <f>+L134-N134</f>
        <v>-15</v>
      </c>
      <c r="Q134" s="197">
        <f>+N134-O134</f>
        <v>0</v>
      </c>
      <c r="R134" s="197">
        <f>+L134-O134</f>
        <v>-15</v>
      </c>
      <c r="S134" s="197">
        <f>+R134-30</f>
        <v>-45</v>
      </c>
      <c r="T134" s="198"/>
      <c r="U134" s="198"/>
    </row>
    <row r="135" spans="1:21" s="194" customFormat="1" ht="12.75" x14ac:dyDescent="0.2">
      <c r="A135" s="190" t="s">
        <v>347</v>
      </c>
      <c r="B135" s="191">
        <v>45046</v>
      </c>
      <c r="C135" s="190" t="s">
        <v>348</v>
      </c>
      <c r="D135" s="192">
        <v>3267</v>
      </c>
      <c r="E135" s="193">
        <v>29</v>
      </c>
      <c r="L135" s="191">
        <v>45046</v>
      </c>
      <c r="M135" s="195"/>
      <c r="N135" s="196">
        <f>+O135</f>
        <v>45092</v>
      </c>
      <c r="O135" s="191">
        <v>45092</v>
      </c>
      <c r="P135" s="197">
        <f>+L135-N135</f>
        <v>-46</v>
      </c>
      <c r="Q135" s="197">
        <f>+N135-O135</f>
        <v>0</v>
      </c>
      <c r="R135" s="197">
        <f>+L135-O135</f>
        <v>-46</v>
      </c>
      <c r="S135" s="197">
        <f>+R135-30</f>
        <v>-76</v>
      </c>
      <c r="T135" s="198"/>
      <c r="U135" s="198"/>
    </row>
    <row r="136" spans="1:21" s="194" customFormat="1" ht="12.75" x14ac:dyDescent="0.2">
      <c r="A136" s="190" t="s">
        <v>349</v>
      </c>
      <c r="B136" s="191">
        <v>45019</v>
      </c>
      <c r="C136" s="190" t="s">
        <v>350</v>
      </c>
      <c r="D136" s="192">
        <v>361.79</v>
      </c>
      <c r="E136" s="193">
        <v>29</v>
      </c>
      <c r="L136" s="191">
        <v>45019</v>
      </c>
      <c r="M136" s="195"/>
      <c r="N136" s="196">
        <f>+O136</f>
        <v>45092</v>
      </c>
      <c r="O136" s="191">
        <v>45092</v>
      </c>
      <c r="P136" s="197">
        <f>+L136-N136</f>
        <v>-73</v>
      </c>
      <c r="Q136" s="197">
        <f>+N136-O136</f>
        <v>0</v>
      </c>
      <c r="R136" s="197">
        <f>+L136-O136</f>
        <v>-73</v>
      </c>
      <c r="S136" s="197">
        <f>+R136-30</f>
        <v>-103</v>
      </c>
      <c r="T136" s="198"/>
      <c r="U136" s="198"/>
    </row>
    <row r="137" spans="1:21" s="194" customFormat="1" ht="12.75" x14ac:dyDescent="0.2">
      <c r="A137" s="190" t="s">
        <v>351</v>
      </c>
      <c r="B137" s="191">
        <v>45077</v>
      </c>
      <c r="C137" s="190" t="s">
        <v>352</v>
      </c>
      <c r="D137" s="192">
        <v>225.58</v>
      </c>
      <c r="E137" s="193">
        <v>29</v>
      </c>
      <c r="L137" s="191">
        <v>45077</v>
      </c>
      <c r="M137" s="195"/>
      <c r="N137" s="196">
        <f>+O137</f>
        <v>45084</v>
      </c>
      <c r="O137" s="191">
        <v>45084</v>
      </c>
      <c r="P137" s="197">
        <f>+L137-N137</f>
        <v>-7</v>
      </c>
      <c r="Q137" s="197">
        <f>+N137-O137</f>
        <v>0</v>
      </c>
      <c r="R137" s="197">
        <f>+L137-O137</f>
        <v>-7</v>
      </c>
      <c r="S137" s="197">
        <f>+R137-30</f>
        <v>-37</v>
      </c>
      <c r="T137" s="198"/>
      <c r="U137" s="198"/>
    </row>
    <row r="138" spans="1:21" s="194" customFormat="1" ht="12.75" x14ac:dyDescent="0.2">
      <c r="A138" s="190" t="s">
        <v>353</v>
      </c>
      <c r="B138" s="191">
        <v>45077</v>
      </c>
      <c r="C138" s="190" t="s">
        <v>354</v>
      </c>
      <c r="D138" s="192">
        <v>900</v>
      </c>
      <c r="E138" s="193">
        <v>29</v>
      </c>
      <c r="L138" s="191">
        <v>45077</v>
      </c>
      <c r="M138" s="195"/>
      <c r="N138" s="196">
        <f>+O138</f>
        <v>45092</v>
      </c>
      <c r="O138" s="191">
        <v>45092</v>
      </c>
      <c r="P138" s="197">
        <f>+L138-N138</f>
        <v>-15</v>
      </c>
      <c r="Q138" s="197">
        <f>+N138-O138</f>
        <v>0</v>
      </c>
      <c r="R138" s="197">
        <f>+L138-O138</f>
        <v>-15</v>
      </c>
      <c r="S138" s="197">
        <f>+R138-30</f>
        <v>-45</v>
      </c>
      <c r="T138" s="198"/>
      <c r="U138" s="198"/>
    </row>
    <row r="139" spans="1:21" s="194" customFormat="1" ht="12.75" x14ac:dyDescent="0.2">
      <c r="A139" s="190" t="s">
        <v>355</v>
      </c>
      <c r="B139" s="191">
        <v>45077</v>
      </c>
      <c r="C139" s="190" t="s">
        <v>356</v>
      </c>
      <c r="D139" s="192">
        <v>1246.3</v>
      </c>
      <c r="E139" s="193">
        <v>29</v>
      </c>
      <c r="L139" s="191">
        <v>45077</v>
      </c>
      <c r="M139" s="195"/>
      <c r="N139" s="196">
        <f>+O139</f>
        <v>45092</v>
      </c>
      <c r="O139" s="191">
        <v>45092</v>
      </c>
      <c r="P139" s="197">
        <f>+L139-N139</f>
        <v>-15</v>
      </c>
      <c r="Q139" s="197">
        <f>+N139-O139</f>
        <v>0</v>
      </c>
      <c r="R139" s="197">
        <f>+L139-O139</f>
        <v>-15</v>
      </c>
      <c r="S139" s="197">
        <f>+R139-30</f>
        <v>-45</v>
      </c>
      <c r="T139" s="198"/>
      <c r="U139" s="198"/>
    </row>
    <row r="140" spans="1:21" s="194" customFormat="1" ht="12.75" x14ac:dyDescent="0.2">
      <c r="A140" s="190" t="s">
        <v>357</v>
      </c>
      <c r="B140" s="191">
        <v>45077</v>
      </c>
      <c r="C140" s="190" t="s">
        <v>358</v>
      </c>
      <c r="D140" s="192">
        <v>1000</v>
      </c>
      <c r="E140" s="193">
        <v>29</v>
      </c>
      <c r="L140" s="191">
        <v>45077</v>
      </c>
      <c r="M140" s="195"/>
      <c r="N140" s="196">
        <f>+O140</f>
        <v>45092</v>
      </c>
      <c r="O140" s="191">
        <v>45092</v>
      </c>
      <c r="P140" s="197">
        <f>+L140-N140</f>
        <v>-15</v>
      </c>
      <c r="Q140" s="197">
        <f>+N140-O140</f>
        <v>0</v>
      </c>
      <c r="R140" s="197">
        <f>+L140-O140</f>
        <v>-15</v>
      </c>
      <c r="S140" s="197">
        <f>+R140-30</f>
        <v>-45</v>
      </c>
      <c r="T140" s="198"/>
      <c r="U140" s="198"/>
    </row>
    <row r="141" spans="1:21" s="194" customFormat="1" ht="12.75" x14ac:dyDescent="0.2">
      <c r="A141" s="190" t="s">
        <v>359</v>
      </c>
      <c r="B141" s="191">
        <v>45077</v>
      </c>
      <c r="C141" s="190" t="s">
        <v>360</v>
      </c>
      <c r="D141" s="192">
        <v>6.16</v>
      </c>
      <c r="E141" s="193">
        <v>29</v>
      </c>
      <c r="L141" s="191">
        <v>45077</v>
      </c>
      <c r="M141" s="195"/>
      <c r="N141" s="196">
        <f>+O141</f>
        <v>45092</v>
      </c>
      <c r="O141" s="191">
        <v>45092</v>
      </c>
      <c r="P141" s="197">
        <f>+L141-N141</f>
        <v>-15</v>
      </c>
      <c r="Q141" s="197">
        <f>+N141-O141</f>
        <v>0</v>
      </c>
      <c r="R141" s="197">
        <f>+L141-O141</f>
        <v>-15</v>
      </c>
      <c r="S141" s="197">
        <f>+R141-30</f>
        <v>-45</v>
      </c>
      <c r="T141" s="198"/>
      <c r="U141" s="198"/>
    </row>
    <row r="142" spans="1:21" s="194" customFormat="1" ht="12.75" x14ac:dyDescent="0.2">
      <c r="A142" s="190" t="s">
        <v>361</v>
      </c>
      <c r="B142" s="191">
        <v>45066</v>
      </c>
      <c r="C142" s="190" t="s">
        <v>362</v>
      </c>
      <c r="D142" s="192">
        <v>2.2599999999999998</v>
      </c>
      <c r="E142" s="193">
        <v>29</v>
      </c>
      <c r="L142" s="191">
        <v>45066</v>
      </c>
      <c r="M142" s="195"/>
      <c r="N142" s="196">
        <f>+O142</f>
        <v>45085</v>
      </c>
      <c r="O142" s="191">
        <v>45085</v>
      </c>
      <c r="P142" s="197">
        <f>+L142-N142</f>
        <v>-19</v>
      </c>
      <c r="Q142" s="197">
        <f>+N142-O142</f>
        <v>0</v>
      </c>
      <c r="R142" s="197">
        <f>+L142-O142</f>
        <v>-19</v>
      </c>
      <c r="S142" s="197">
        <f>+R142-30</f>
        <v>-49</v>
      </c>
      <c r="T142" s="198"/>
      <c r="U142" s="198"/>
    </row>
    <row r="143" spans="1:21" s="194" customFormat="1" ht="12.75" x14ac:dyDescent="0.2">
      <c r="A143" s="190" t="s">
        <v>363</v>
      </c>
      <c r="B143" s="191">
        <v>45078</v>
      </c>
      <c r="C143" s="190" t="s">
        <v>364</v>
      </c>
      <c r="D143" s="192">
        <v>880.15</v>
      </c>
      <c r="E143" s="193">
        <v>29</v>
      </c>
      <c r="L143" s="191">
        <v>45078</v>
      </c>
      <c r="M143" s="195"/>
      <c r="N143" s="196">
        <f>+O143</f>
        <v>45092</v>
      </c>
      <c r="O143" s="191">
        <v>45092</v>
      </c>
      <c r="P143" s="197">
        <f>+L143-N143</f>
        <v>-14</v>
      </c>
      <c r="Q143" s="197">
        <f>+N143-O143</f>
        <v>0</v>
      </c>
      <c r="R143" s="197">
        <f>+L143-O143</f>
        <v>-14</v>
      </c>
      <c r="S143" s="197">
        <f>+R143-30</f>
        <v>-44</v>
      </c>
      <c r="T143" s="198"/>
      <c r="U143" s="198"/>
    </row>
    <row r="144" spans="1:21" s="194" customFormat="1" ht="12.75" x14ac:dyDescent="0.2">
      <c r="A144" s="190" t="s">
        <v>365</v>
      </c>
      <c r="B144" s="191">
        <v>45069</v>
      </c>
      <c r="C144" s="190" t="s">
        <v>366</v>
      </c>
      <c r="D144" s="192">
        <v>2397.98</v>
      </c>
      <c r="E144" s="193">
        <v>29</v>
      </c>
      <c r="L144" s="191">
        <v>45069</v>
      </c>
      <c r="M144" s="195"/>
      <c r="N144" s="196">
        <f>+O144</f>
        <v>45076</v>
      </c>
      <c r="O144" s="191">
        <v>45076</v>
      </c>
      <c r="P144" s="197">
        <f>+L144-N144</f>
        <v>-7</v>
      </c>
      <c r="Q144" s="197">
        <f>+N144-O144</f>
        <v>0</v>
      </c>
      <c r="R144" s="197">
        <f>+L144-O144</f>
        <v>-7</v>
      </c>
      <c r="S144" s="197">
        <f>+R144-30</f>
        <v>-37</v>
      </c>
      <c r="T144" s="198"/>
      <c r="U144" s="198"/>
    </row>
    <row r="145" spans="1:21" s="194" customFormat="1" ht="12.75" x14ac:dyDescent="0.2">
      <c r="A145" s="190" t="s">
        <v>367</v>
      </c>
      <c r="B145" s="191">
        <v>45039</v>
      </c>
      <c r="C145" s="190" t="s">
        <v>368</v>
      </c>
      <c r="D145" s="192">
        <v>2341.6999999999998</v>
      </c>
      <c r="E145" s="193">
        <v>29</v>
      </c>
      <c r="L145" s="191">
        <v>45039</v>
      </c>
      <c r="M145" s="195"/>
      <c r="N145" s="196">
        <f>+O145</f>
        <v>45046</v>
      </c>
      <c r="O145" s="191">
        <v>45046</v>
      </c>
      <c r="P145" s="197">
        <f>+L145-N145</f>
        <v>-7</v>
      </c>
      <c r="Q145" s="197">
        <f>+N145-O145</f>
        <v>0</v>
      </c>
      <c r="R145" s="197">
        <f>+L145-O145</f>
        <v>-7</v>
      </c>
      <c r="S145" s="197">
        <f>+R145-30</f>
        <v>-37</v>
      </c>
      <c r="T145" s="198"/>
      <c r="U145" s="198"/>
    </row>
    <row r="146" spans="1:21" s="194" customFormat="1" ht="12.75" x14ac:dyDescent="0.2">
      <c r="A146" s="190" t="s">
        <v>369</v>
      </c>
      <c r="B146" s="191">
        <v>45086</v>
      </c>
      <c r="C146" s="190" t="s">
        <v>370</v>
      </c>
      <c r="D146" s="192">
        <v>4573.8</v>
      </c>
      <c r="E146" s="193">
        <v>29</v>
      </c>
      <c r="L146" s="191">
        <v>45086</v>
      </c>
      <c r="M146" s="195"/>
      <c r="N146" s="196">
        <f>+O146</f>
        <v>45091</v>
      </c>
      <c r="O146" s="191">
        <v>45091</v>
      </c>
      <c r="P146" s="197">
        <f>+L146-N146</f>
        <v>-5</v>
      </c>
      <c r="Q146" s="197">
        <f>+N146-O146</f>
        <v>0</v>
      </c>
      <c r="R146" s="197">
        <f>+L146-O146</f>
        <v>-5</v>
      </c>
      <c r="S146" s="197">
        <f>+R146-30</f>
        <v>-35</v>
      </c>
      <c r="T146" s="198"/>
      <c r="U146" s="198"/>
    </row>
    <row r="147" spans="1:21" s="194" customFormat="1" ht="12.75" x14ac:dyDescent="0.2">
      <c r="A147" s="190" t="s">
        <v>371</v>
      </c>
      <c r="B147" s="191">
        <v>45082</v>
      </c>
      <c r="C147" s="190" t="s">
        <v>372</v>
      </c>
      <c r="D147" s="192">
        <v>1016.4</v>
      </c>
      <c r="E147" s="193">
        <v>29</v>
      </c>
      <c r="L147" s="191">
        <v>45082</v>
      </c>
      <c r="M147" s="195"/>
      <c r="N147" s="196">
        <f>+O147</f>
        <v>45092</v>
      </c>
      <c r="O147" s="191">
        <v>45092</v>
      </c>
      <c r="P147" s="197">
        <f>+L147-N147</f>
        <v>-10</v>
      </c>
      <c r="Q147" s="197">
        <f>+N147-O147</f>
        <v>0</v>
      </c>
      <c r="R147" s="197">
        <f>+L147-O147</f>
        <v>-10</v>
      </c>
      <c r="S147" s="197">
        <f>+R147-30</f>
        <v>-40</v>
      </c>
      <c r="T147" s="198"/>
      <c r="U147" s="198"/>
    </row>
    <row r="148" spans="1:21" s="194" customFormat="1" ht="12.75" x14ac:dyDescent="0.2">
      <c r="A148" s="190" t="s">
        <v>373</v>
      </c>
      <c r="B148" s="191">
        <v>45077</v>
      </c>
      <c r="C148" s="190" t="s">
        <v>374</v>
      </c>
      <c r="D148" s="192">
        <v>245.12</v>
      </c>
      <c r="E148" s="193">
        <v>29</v>
      </c>
      <c r="L148" s="191">
        <v>45077</v>
      </c>
      <c r="M148" s="195"/>
      <c r="N148" s="196">
        <f>+O148</f>
        <v>45082</v>
      </c>
      <c r="O148" s="191">
        <v>45082</v>
      </c>
      <c r="P148" s="197">
        <f>+L148-N148</f>
        <v>-5</v>
      </c>
      <c r="Q148" s="197">
        <f>+N148-O148</f>
        <v>0</v>
      </c>
      <c r="R148" s="197">
        <f>+L148-O148</f>
        <v>-5</v>
      </c>
      <c r="S148" s="197">
        <f>+R148-30</f>
        <v>-35</v>
      </c>
      <c r="T148" s="198"/>
      <c r="U148" s="198"/>
    </row>
    <row r="149" spans="1:21" s="194" customFormat="1" ht="12.75" x14ac:dyDescent="0.2">
      <c r="A149" s="190" t="s">
        <v>375</v>
      </c>
      <c r="B149" s="191">
        <v>45033</v>
      </c>
      <c r="C149" s="190" t="s">
        <v>376</v>
      </c>
      <c r="D149" s="192">
        <v>12.38</v>
      </c>
      <c r="E149" s="193">
        <v>29</v>
      </c>
      <c r="L149" s="191">
        <v>45033</v>
      </c>
      <c r="M149" s="195"/>
      <c r="N149" s="196">
        <f>+O149</f>
        <v>45051</v>
      </c>
      <c r="O149" s="191">
        <v>45051</v>
      </c>
      <c r="P149" s="197">
        <f>+L149-N149</f>
        <v>-18</v>
      </c>
      <c r="Q149" s="197">
        <f>+N149-O149</f>
        <v>0</v>
      </c>
      <c r="R149" s="197">
        <f>+L149-O149</f>
        <v>-18</v>
      </c>
      <c r="S149" s="197">
        <f>+R149-30</f>
        <v>-48</v>
      </c>
      <c r="T149" s="198"/>
      <c r="U149" s="198"/>
    </row>
    <row r="150" spans="1:21" s="194" customFormat="1" ht="12.75" x14ac:dyDescent="0.2">
      <c r="A150" s="190" t="s">
        <v>377</v>
      </c>
      <c r="B150" s="191">
        <v>45064</v>
      </c>
      <c r="C150" s="190" t="s">
        <v>378</v>
      </c>
      <c r="D150" s="192">
        <v>320.64999999999998</v>
      </c>
      <c r="E150" s="193">
        <v>29</v>
      </c>
      <c r="L150" s="191">
        <v>45064</v>
      </c>
      <c r="M150" s="195"/>
      <c r="N150" s="196">
        <f>+O150</f>
        <v>45086</v>
      </c>
      <c r="O150" s="191">
        <v>45086</v>
      </c>
      <c r="P150" s="197">
        <f>+L150-N150</f>
        <v>-22</v>
      </c>
      <c r="Q150" s="197">
        <f>+N150-O150</f>
        <v>0</v>
      </c>
      <c r="R150" s="197">
        <f>+L150-O150</f>
        <v>-22</v>
      </c>
      <c r="S150" s="197">
        <f>+R150-30</f>
        <v>-52</v>
      </c>
      <c r="T150" s="198"/>
      <c r="U150" s="198"/>
    </row>
    <row r="151" spans="1:21" s="194" customFormat="1" ht="12.75" x14ac:dyDescent="0.2">
      <c r="A151" s="190" t="s">
        <v>379</v>
      </c>
      <c r="B151" s="191">
        <v>45084</v>
      </c>
      <c r="C151" s="190" t="s">
        <v>380</v>
      </c>
      <c r="D151" s="192">
        <v>10575.96</v>
      </c>
      <c r="E151" s="193">
        <v>29</v>
      </c>
      <c r="L151" s="191">
        <v>45084</v>
      </c>
      <c r="M151" s="195"/>
      <c r="N151" s="196">
        <f>+O151</f>
        <v>45086</v>
      </c>
      <c r="O151" s="191">
        <v>45086</v>
      </c>
      <c r="P151" s="197">
        <f>+L151-N151</f>
        <v>-2</v>
      </c>
      <c r="Q151" s="197">
        <f>+N151-O151</f>
        <v>0</v>
      </c>
      <c r="R151" s="197">
        <f>+L151-O151</f>
        <v>-2</v>
      </c>
      <c r="S151" s="197">
        <f>+R151-30</f>
        <v>-32</v>
      </c>
      <c r="T151" s="198"/>
      <c r="U151" s="198"/>
    </row>
    <row r="152" spans="1:21" s="203" customFormat="1" ht="12.75" x14ac:dyDescent="0.2">
      <c r="A152" s="199" t="s">
        <v>381</v>
      </c>
      <c r="B152" s="200">
        <v>45027</v>
      </c>
      <c r="C152" s="199" t="s">
        <v>382</v>
      </c>
      <c r="D152" s="201">
        <v>4103.84</v>
      </c>
      <c r="E152" s="202">
        <v>69</v>
      </c>
      <c r="L152" s="200">
        <v>45027</v>
      </c>
      <c r="M152" s="204"/>
      <c r="N152" s="205">
        <f>+O152</f>
        <v>45030</v>
      </c>
      <c r="O152" s="200">
        <v>45030</v>
      </c>
      <c r="P152" s="206">
        <f>+L152-N152</f>
        <v>-3</v>
      </c>
      <c r="Q152" s="206">
        <f>+N152-O152</f>
        <v>0</v>
      </c>
      <c r="R152" s="206">
        <f>+L152-O152</f>
        <v>-3</v>
      </c>
      <c r="S152" s="206">
        <f>+R152-30</f>
        <v>-33</v>
      </c>
      <c r="T152" s="207"/>
      <c r="U152" s="207"/>
    </row>
    <row r="153" spans="1:21" s="203" customFormat="1" ht="12.75" x14ac:dyDescent="0.2">
      <c r="A153" s="199" t="s">
        <v>383</v>
      </c>
      <c r="B153" s="200">
        <v>45019</v>
      </c>
      <c r="C153" s="199" t="s">
        <v>384</v>
      </c>
      <c r="D153" s="201">
        <v>9568.67</v>
      </c>
      <c r="E153" s="202">
        <v>69</v>
      </c>
      <c r="L153" s="200">
        <v>45019</v>
      </c>
      <c r="M153" s="204"/>
      <c r="N153" s="205">
        <f>+O153</f>
        <v>45030</v>
      </c>
      <c r="O153" s="200">
        <v>45030</v>
      </c>
      <c r="P153" s="206">
        <f>+L153-N153</f>
        <v>-11</v>
      </c>
      <c r="Q153" s="206">
        <f>+N153-O153</f>
        <v>0</v>
      </c>
      <c r="R153" s="206">
        <f>+L153-O153</f>
        <v>-11</v>
      </c>
      <c r="S153" s="206">
        <f>+R153-30</f>
        <v>-41</v>
      </c>
      <c r="T153" s="207"/>
      <c r="U153" s="207"/>
    </row>
    <row r="154" spans="1:21" s="203" customFormat="1" ht="12.75" x14ac:dyDescent="0.2">
      <c r="A154" s="199" t="s">
        <v>385</v>
      </c>
      <c r="B154" s="200">
        <v>45028</v>
      </c>
      <c r="C154" s="199" t="s">
        <v>386</v>
      </c>
      <c r="D154" s="201">
        <v>5133.7299999999996</v>
      </c>
      <c r="E154" s="202">
        <v>69</v>
      </c>
      <c r="L154" s="200">
        <v>45027</v>
      </c>
      <c r="M154" s="204"/>
      <c r="N154" s="205">
        <f>+O154</f>
        <v>45030</v>
      </c>
      <c r="O154" s="200">
        <v>45030</v>
      </c>
      <c r="P154" s="206">
        <f>+L154-N154</f>
        <v>-3</v>
      </c>
      <c r="Q154" s="206">
        <f>+N154-O154</f>
        <v>0</v>
      </c>
      <c r="R154" s="206">
        <f>+L154-O154</f>
        <v>-3</v>
      </c>
      <c r="S154" s="206">
        <f>+R154-30</f>
        <v>-33</v>
      </c>
      <c r="T154" s="207"/>
      <c r="U154" s="207"/>
    </row>
    <row r="155" spans="1:21" s="203" customFormat="1" ht="12.75" x14ac:dyDescent="0.2">
      <c r="A155" s="199" t="s">
        <v>387</v>
      </c>
      <c r="B155" s="200">
        <v>45028</v>
      </c>
      <c r="C155" s="199" t="s">
        <v>388</v>
      </c>
      <c r="D155" s="201">
        <v>10784.98</v>
      </c>
      <c r="E155" s="202">
        <v>69</v>
      </c>
      <c r="L155" s="200">
        <v>45028</v>
      </c>
      <c r="M155" s="204"/>
      <c r="N155" s="205">
        <f>+O155</f>
        <v>45030</v>
      </c>
      <c r="O155" s="200">
        <v>45030</v>
      </c>
      <c r="P155" s="206">
        <f>+L155-N155</f>
        <v>-2</v>
      </c>
      <c r="Q155" s="206">
        <f>+N155-O155</f>
        <v>0</v>
      </c>
      <c r="R155" s="206">
        <f>+L155-O155</f>
        <v>-2</v>
      </c>
      <c r="S155" s="206">
        <f>+R155-30</f>
        <v>-32</v>
      </c>
      <c r="T155" s="207"/>
      <c r="U155" s="207"/>
    </row>
    <row r="156" spans="1:21" s="203" customFormat="1" ht="12.75" x14ac:dyDescent="0.2">
      <c r="A156" s="199" t="s">
        <v>389</v>
      </c>
      <c r="B156" s="200">
        <v>45030</v>
      </c>
      <c r="C156" s="199" t="s">
        <v>370</v>
      </c>
      <c r="D156" s="201">
        <v>2286.11</v>
      </c>
      <c r="E156" s="202">
        <v>69</v>
      </c>
      <c r="L156" s="200">
        <v>45030</v>
      </c>
      <c r="M156" s="204"/>
      <c r="N156" s="205">
        <f>+O156</f>
        <v>45043</v>
      </c>
      <c r="O156" s="200">
        <v>45043</v>
      </c>
      <c r="P156" s="206">
        <f>+L156-N156</f>
        <v>-13</v>
      </c>
      <c r="Q156" s="206">
        <f>+N156-O156</f>
        <v>0</v>
      </c>
      <c r="R156" s="206">
        <f>+L156-O156</f>
        <v>-13</v>
      </c>
      <c r="S156" s="206">
        <f>+R156-30</f>
        <v>-43</v>
      </c>
      <c r="T156" s="207"/>
      <c r="U156" s="207"/>
    </row>
    <row r="157" spans="1:21" s="203" customFormat="1" ht="12.75" x14ac:dyDescent="0.2">
      <c r="A157" s="199" t="s">
        <v>390</v>
      </c>
      <c r="B157" s="200">
        <v>45019</v>
      </c>
      <c r="C157" s="199" t="s">
        <v>391</v>
      </c>
      <c r="D157" s="201">
        <v>514.76</v>
      </c>
      <c r="E157" s="202">
        <v>69</v>
      </c>
      <c r="L157" s="200">
        <v>45019</v>
      </c>
      <c r="M157" s="204"/>
      <c r="N157" s="205">
        <f>+O157</f>
        <v>45037</v>
      </c>
      <c r="O157" s="200">
        <v>45037</v>
      </c>
      <c r="P157" s="206">
        <f>+L157-N157</f>
        <v>-18</v>
      </c>
      <c r="Q157" s="206">
        <f>+N157-O157</f>
        <v>0</v>
      </c>
      <c r="R157" s="206">
        <f>+L157-O157</f>
        <v>-18</v>
      </c>
      <c r="S157" s="206">
        <f>+R157-30</f>
        <v>-48</v>
      </c>
      <c r="T157" s="207"/>
      <c r="U157" s="207"/>
    </row>
    <row r="158" spans="1:21" s="203" customFormat="1" ht="12.75" x14ac:dyDescent="0.2">
      <c r="A158" s="199" t="s">
        <v>392</v>
      </c>
      <c r="B158" s="200">
        <v>45020</v>
      </c>
      <c r="C158" s="199" t="s">
        <v>393</v>
      </c>
      <c r="D158" s="201">
        <v>950999.5</v>
      </c>
      <c r="E158" s="202">
        <v>69</v>
      </c>
      <c r="L158" s="200">
        <v>45020</v>
      </c>
      <c r="M158" s="204"/>
      <c r="N158" s="205">
        <f>+O158</f>
        <v>45020</v>
      </c>
      <c r="O158" s="200">
        <v>45020</v>
      </c>
      <c r="P158" s="206">
        <f>+L158-N158</f>
        <v>0</v>
      </c>
      <c r="Q158" s="206">
        <f>+N158-O158</f>
        <v>0</v>
      </c>
      <c r="R158" s="206">
        <f>+L158-O158</f>
        <v>0</v>
      </c>
      <c r="S158" s="206">
        <f>+R158-30</f>
        <v>-30</v>
      </c>
      <c r="T158" s="207"/>
      <c r="U158" s="207"/>
    </row>
    <row r="159" spans="1:21" s="203" customFormat="1" ht="12.75" x14ac:dyDescent="0.2">
      <c r="A159" s="199" t="s">
        <v>394</v>
      </c>
      <c r="B159" s="200">
        <v>45041</v>
      </c>
      <c r="C159" s="199" t="s">
        <v>395</v>
      </c>
      <c r="D159" s="201">
        <v>10562.09</v>
      </c>
      <c r="E159" s="202">
        <v>69</v>
      </c>
      <c r="L159" s="200">
        <v>45041</v>
      </c>
      <c r="M159" s="204"/>
      <c r="N159" s="205">
        <f>+O159</f>
        <v>45043</v>
      </c>
      <c r="O159" s="200">
        <v>45043</v>
      </c>
      <c r="P159" s="206">
        <f>+L159-N159</f>
        <v>-2</v>
      </c>
      <c r="Q159" s="206">
        <f>+N159-O159</f>
        <v>0</v>
      </c>
      <c r="R159" s="206">
        <f>+L159-O159</f>
        <v>-2</v>
      </c>
      <c r="S159" s="206">
        <f>+R159-30</f>
        <v>-32</v>
      </c>
      <c r="T159" s="207"/>
      <c r="U159" s="207"/>
    </row>
    <row r="160" spans="1:21" s="203" customFormat="1" ht="12.75" x14ac:dyDescent="0.2">
      <c r="A160" s="199" t="s">
        <v>396</v>
      </c>
      <c r="B160" s="200">
        <v>45055</v>
      </c>
      <c r="C160" s="199" t="s">
        <v>395</v>
      </c>
      <c r="D160" s="201">
        <v>1452</v>
      </c>
      <c r="E160" s="202">
        <v>69</v>
      </c>
      <c r="L160" s="200">
        <v>45055</v>
      </c>
      <c r="M160" s="204"/>
      <c r="N160" s="205">
        <f>+O160</f>
        <v>45061</v>
      </c>
      <c r="O160" s="200">
        <v>45061</v>
      </c>
      <c r="P160" s="206">
        <f>+L160-N160</f>
        <v>-6</v>
      </c>
      <c r="Q160" s="206">
        <f>+N160-O160</f>
        <v>0</v>
      </c>
      <c r="R160" s="206">
        <f>+L160-O160</f>
        <v>-6</v>
      </c>
      <c r="S160" s="206">
        <f>+R160-30</f>
        <v>-36</v>
      </c>
      <c r="T160" s="207"/>
      <c r="U160" s="207"/>
    </row>
    <row r="161" spans="1:21" s="203" customFormat="1" ht="12.75" x14ac:dyDescent="0.2">
      <c r="A161" s="199" t="s">
        <v>397</v>
      </c>
      <c r="B161" s="200">
        <v>45049</v>
      </c>
      <c r="C161" s="199" t="s">
        <v>398</v>
      </c>
      <c r="D161" s="201">
        <v>356.03</v>
      </c>
      <c r="E161" s="202">
        <v>69</v>
      </c>
      <c r="L161" s="200">
        <v>45049</v>
      </c>
      <c r="M161" s="204"/>
      <c r="N161" s="205">
        <f>+O161</f>
        <v>45049</v>
      </c>
      <c r="O161" s="200">
        <v>45049</v>
      </c>
      <c r="P161" s="206">
        <f>+L161-N161</f>
        <v>0</v>
      </c>
      <c r="Q161" s="206">
        <f>+N161-O161</f>
        <v>0</v>
      </c>
      <c r="R161" s="206">
        <f>+L161-O161</f>
        <v>0</v>
      </c>
      <c r="S161" s="206">
        <f>+R161-30</f>
        <v>-30</v>
      </c>
      <c r="T161" s="207"/>
      <c r="U161" s="207"/>
    </row>
    <row r="162" spans="1:21" s="203" customFormat="1" ht="12.75" x14ac:dyDescent="0.2">
      <c r="A162" s="199" t="s">
        <v>399</v>
      </c>
      <c r="B162" s="200">
        <v>45062</v>
      </c>
      <c r="C162" s="199" t="s">
        <v>400</v>
      </c>
      <c r="D162" s="201">
        <v>5793.48</v>
      </c>
      <c r="E162" s="202">
        <v>69</v>
      </c>
      <c r="L162" s="200">
        <v>45062</v>
      </c>
      <c r="M162" s="204"/>
      <c r="N162" s="205">
        <f>+O162</f>
        <v>3075</v>
      </c>
      <c r="O162" s="200">
        <v>3075</v>
      </c>
      <c r="P162" s="206">
        <f>+L162-N162</f>
        <v>41987</v>
      </c>
      <c r="Q162" s="206">
        <f>+N162-O162</f>
        <v>0</v>
      </c>
      <c r="R162" s="206">
        <f>+L162-O162</f>
        <v>41987</v>
      </c>
      <c r="S162" s="206">
        <f>+R162-30</f>
        <v>41957</v>
      </c>
      <c r="T162" s="207"/>
      <c r="U162" s="207"/>
    </row>
    <row r="163" spans="1:21" s="203" customFormat="1" ht="12.75" x14ac:dyDescent="0.2">
      <c r="A163" s="199" t="s">
        <v>401</v>
      </c>
      <c r="B163" s="200">
        <v>45062</v>
      </c>
      <c r="C163" s="199" t="s">
        <v>402</v>
      </c>
      <c r="D163" s="201">
        <v>1487.26</v>
      </c>
      <c r="E163" s="202">
        <v>69</v>
      </c>
      <c r="L163" s="200">
        <v>45062</v>
      </c>
      <c r="M163" s="204"/>
      <c r="N163" s="205">
        <f>+O163</f>
        <v>45061</v>
      </c>
      <c r="O163" s="200">
        <v>45061</v>
      </c>
      <c r="P163" s="206">
        <f>+L163-N163</f>
        <v>1</v>
      </c>
      <c r="Q163" s="206">
        <f>+N163-O163</f>
        <v>0</v>
      </c>
      <c r="R163" s="206">
        <f>+L163-O163</f>
        <v>1</v>
      </c>
      <c r="S163" s="206">
        <f>+R163-30</f>
        <v>-29</v>
      </c>
      <c r="T163" s="207"/>
      <c r="U163" s="207"/>
    </row>
    <row r="164" spans="1:21" s="203" customFormat="1" ht="12.75" x14ac:dyDescent="0.2">
      <c r="A164" s="199" t="s">
        <v>403</v>
      </c>
      <c r="B164" s="200">
        <v>45033</v>
      </c>
      <c r="C164" s="199" t="s">
        <v>404</v>
      </c>
      <c r="D164" s="201">
        <v>440.44</v>
      </c>
      <c r="E164" s="202">
        <v>69</v>
      </c>
      <c r="L164" s="200">
        <v>45033</v>
      </c>
      <c r="M164" s="204"/>
      <c r="N164" s="205">
        <f>+O164</f>
        <v>45076</v>
      </c>
      <c r="O164" s="200">
        <v>45076</v>
      </c>
      <c r="P164" s="206">
        <f>+L164-N164</f>
        <v>-43</v>
      </c>
      <c r="Q164" s="206">
        <f>+N164-O164</f>
        <v>0</v>
      </c>
      <c r="R164" s="206">
        <f>+L164-O164</f>
        <v>-43</v>
      </c>
      <c r="S164" s="206">
        <f>+R164-30</f>
        <v>-73</v>
      </c>
      <c r="T164" s="207"/>
      <c r="U164" s="207"/>
    </row>
    <row r="165" spans="1:21" s="203" customFormat="1" ht="12.75" x14ac:dyDescent="0.2">
      <c r="A165" s="199" t="s">
        <v>405</v>
      </c>
      <c r="B165" s="200">
        <v>45076</v>
      </c>
      <c r="C165" s="199" t="s">
        <v>406</v>
      </c>
      <c r="D165" s="201">
        <v>435.7</v>
      </c>
      <c r="E165" s="202">
        <v>69</v>
      </c>
      <c r="L165" s="200">
        <v>45076</v>
      </c>
      <c r="M165" s="204"/>
      <c r="N165" s="205">
        <f>+O165</f>
        <v>45076</v>
      </c>
      <c r="O165" s="200">
        <v>45076</v>
      </c>
      <c r="P165" s="206">
        <f>+L165-N165</f>
        <v>0</v>
      </c>
      <c r="Q165" s="206">
        <f>+N165-O165</f>
        <v>0</v>
      </c>
      <c r="R165" s="206">
        <f>+L165-O165</f>
        <v>0</v>
      </c>
      <c r="S165" s="206">
        <f>+R165-30</f>
        <v>-30</v>
      </c>
      <c r="T165" s="207"/>
      <c r="U165" s="207"/>
    </row>
    <row r="166" spans="1:21" s="203" customFormat="1" ht="12.75" x14ac:dyDescent="0.2">
      <c r="A166" s="199" t="s">
        <v>407</v>
      </c>
      <c r="B166" s="200">
        <v>45071</v>
      </c>
      <c r="C166" s="199" t="s">
        <v>408</v>
      </c>
      <c r="D166" s="201">
        <v>91.78</v>
      </c>
      <c r="E166" s="202">
        <v>69</v>
      </c>
      <c r="L166" s="200">
        <v>45071</v>
      </c>
      <c r="M166" s="204"/>
      <c r="N166" s="205">
        <f>+O166</f>
        <v>45078</v>
      </c>
      <c r="O166" s="200">
        <v>45078</v>
      </c>
      <c r="P166" s="206">
        <f>+L166-N166</f>
        <v>-7</v>
      </c>
      <c r="Q166" s="206">
        <f>+N166-O166</f>
        <v>0</v>
      </c>
      <c r="R166" s="206">
        <f>+L166-O166</f>
        <v>-7</v>
      </c>
      <c r="S166" s="206">
        <f>+R166-30</f>
        <v>-37</v>
      </c>
      <c r="T166" s="207"/>
      <c r="U166" s="207"/>
    </row>
    <row r="167" spans="1:21" s="203" customFormat="1" ht="12.75" x14ac:dyDescent="0.2">
      <c r="A167" s="199" t="s">
        <v>409</v>
      </c>
      <c r="B167" s="200">
        <v>45077</v>
      </c>
      <c r="C167" s="199" t="s">
        <v>410</v>
      </c>
      <c r="D167" s="201">
        <v>2541</v>
      </c>
      <c r="E167" s="202">
        <v>69</v>
      </c>
      <c r="L167" s="200">
        <v>45077</v>
      </c>
      <c r="M167" s="204"/>
      <c r="N167" s="205">
        <f>+O167</f>
        <v>45092</v>
      </c>
      <c r="O167" s="200">
        <v>45092</v>
      </c>
      <c r="P167" s="206">
        <f>+L167-N167</f>
        <v>-15</v>
      </c>
      <c r="Q167" s="206">
        <f>+N167-O167</f>
        <v>0</v>
      </c>
      <c r="R167" s="206">
        <f>+L167-O167</f>
        <v>-15</v>
      </c>
      <c r="S167" s="206">
        <f>+R167-30</f>
        <v>-45</v>
      </c>
      <c r="T167" s="207"/>
      <c r="U167" s="207"/>
    </row>
    <row r="168" spans="1:21" s="203" customFormat="1" ht="12.75" x14ac:dyDescent="0.2">
      <c r="A168" s="199" t="s">
        <v>411</v>
      </c>
      <c r="B168" s="200">
        <v>45071</v>
      </c>
      <c r="C168" s="199" t="s">
        <v>412</v>
      </c>
      <c r="D168" s="201">
        <v>83.97</v>
      </c>
      <c r="E168" s="202">
        <v>69</v>
      </c>
      <c r="L168" s="200">
        <v>45071</v>
      </c>
      <c r="M168" s="204"/>
      <c r="N168" s="205">
        <f>+O168</f>
        <v>45078</v>
      </c>
      <c r="O168" s="200">
        <v>45078</v>
      </c>
      <c r="P168" s="206">
        <f>+L168-N168</f>
        <v>-7</v>
      </c>
      <c r="Q168" s="206">
        <f>+N168-O168</f>
        <v>0</v>
      </c>
      <c r="R168" s="206">
        <f>+L168-O168</f>
        <v>-7</v>
      </c>
      <c r="S168" s="206">
        <f>+R168-30</f>
        <v>-37</v>
      </c>
      <c r="T168" s="207"/>
      <c r="U168" s="207"/>
    </row>
    <row r="169" spans="1:21" s="203" customFormat="1" ht="12.75" x14ac:dyDescent="0.2">
      <c r="A169" s="199" t="s">
        <v>413</v>
      </c>
      <c r="B169" s="200">
        <v>45071</v>
      </c>
      <c r="C169" s="199" t="s">
        <v>414</v>
      </c>
      <c r="D169" s="201">
        <v>719.8</v>
      </c>
      <c r="E169" s="202">
        <v>69</v>
      </c>
      <c r="L169" s="200">
        <v>45071</v>
      </c>
      <c r="M169" s="204"/>
      <c r="N169" s="205">
        <f>+O169</f>
        <v>45078</v>
      </c>
      <c r="O169" s="200">
        <v>45078</v>
      </c>
      <c r="P169" s="206">
        <f>+L169-N169</f>
        <v>-7</v>
      </c>
      <c r="Q169" s="206">
        <f>+N169-O169</f>
        <v>0</v>
      </c>
      <c r="R169" s="206">
        <f>+L169-O169</f>
        <v>-7</v>
      </c>
      <c r="S169" s="206">
        <f>+R169-30</f>
        <v>-37</v>
      </c>
      <c r="T169" s="207"/>
      <c r="U169" s="207"/>
    </row>
    <row r="170" spans="1:21" s="203" customFormat="1" ht="12.75" x14ac:dyDescent="0.2">
      <c r="A170" s="199" t="s">
        <v>415</v>
      </c>
      <c r="B170" s="200">
        <v>45071</v>
      </c>
      <c r="C170" s="199" t="s">
        <v>416</v>
      </c>
      <c r="D170" s="201">
        <v>108.9</v>
      </c>
      <c r="E170" s="202">
        <v>69</v>
      </c>
      <c r="L170" s="200">
        <v>45071</v>
      </c>
      <c r="M170" s="204"/>
      <c r="N170" s="205">
        <f>+O170</f>
        <v>45078</v>
      </c>
      <c r="O170" s="200">
        <v>45078</v>
      </c>
      <c r="P170" s="206">
        <f>+L170-N170</f>
        <v>-7</v>
      </c>
      <c r="Q170" s="206">
        <f>+N170-O170</f>
        <v>0</v>
      </c>
      <c r="R170" s="206">
        <f>+L170-O170</f>
        <v>-7</v>
      </c>
      <c r="S170" s="206">
        <f>+R170-30</f>
        <v>-37</v>
      </c>
      <c r="T170" s="207"/>
      <c r="U170" s="207"/>
    </row>
    <row r="171" spans="1:21" s="203" customFormat="1" ht="12.75" x14ac:dyDescent="0.2">
      <c r="A171" s="199" t="s">
        <v>417</v>
      </c>
      <c r="B171" s="200">
        <v>45085</v>
      </c>
      <c r="C171" s="199" t="s">
        <v>418</v>
      </c>
      <c r="D171" s="201">
        <v>3605.8</v>
      </c>
      <c r="E171" s="202">
        <v>69</v>
      </c>
      <c r="L171" s="200">
        <v>45085</v>
      </c>
      <c r="M171" s="204"/>
      <c r="N171" s="205">
        <f>+O171</f>
        <v>45092</v>
      </c>
      <c r="O171" s="200">
        <v>45092</v>
      </c>
      <c r="P171" s="206">
        <f>+L171-N171</f>
        <v>-7</v>
      </c>
      <c r="Q171" s="206">
        <f>+N171-O171</f>
        <v>0</v>
      </c>
      <c r="R171" s="206">
        <f>+L171-O171</f>
        <v>-7</v>
      </c>
      <c r="S171" s="206">
        <f>+R171-30</f>
        <v>-37</v>
      </c>
      <c r="T171" s="207"/>
      <c r="U171" s="207"/>
    </row>
    <row r="172" spans="1:21" s="203" customFormat="1" ht="12.75" x14ac:dyDescent="0.2">
      <c r="A172" s="199" t="s">
        <v>419</v>
      </c>
      <c r="B172" s="200">
        <v>45040</v>
      </c>
      <c r="C172" s="199" t="s">
        <v>420</v>
      </c>
      <c r="D172" s="201">
        <v>345.52</v>
      </c>
      <c r="E172" s="202">
        <v>69</v>
      </c>
      <c r="L172" s="200">
        <v>44981</v>
      </c>
      <c r="M172" s="204"/>
      <c r="N172" s="205">
        <f>+O172</f>
        <v>45047</v>
      </c>
      <c r="O172" s="200">
        <v>45047</v>
      </c>
      <c r="P172" s="206">
        <f>+L172-N172</f>
        <v>-66</v>
      </c>
      <c r="Q172" s="206">
        <f>+N172-O172</f>
        <v>0</v>
      </c>
      <c r="R172" s="206">
        <f>+L172-O172</f>
        <v>-66</v>
      </c>
      <c r="S172" s="206">
        <f>+R172-30</f>
        <v>-96</v>
      </c>
      <c r="T172" s="207"/>
      <c r="U172" s="207"/>
    </row>
    <row r="173" spans="1:21" s="212" customFormat="1" ht="12.75" x14ac:dyDescent="0.2">
      <c r="A173" s="208" t="s">
        <v>421</v>
      </c>
      <c r="B173" s="209">
        <v>45033</v>
      </c>
      <c r="C173" s="208" t="s">
        <v>422</v>
      </c>
      <c r="D173" s="210">
        <v>184.6</v>
      </c>
      <c r="E173" s="211">
        <v>21</v>
      </c>
      <c r="L173" s="209">
        <v>45033</v>
      </c>
      <c r="M173" s="213"/>
      <c r="N173" s="214">
        <f>+O173</f>
        <v>45043</v>
      </c>
      <c r="O173" s="209">
        <v>45043</v>
      </c>
      <c r="P173" s="215">
        <f>+L173-N173</f>
        <v>-10</v>
      </c>
      <c r="Q173" s="215">
        <f>+N173-O173</f>
        <v>0</v>
      </c>
      <c r="R173" s="215">
        <f>+L173-O173</f>
        <v>-10</v>
      </c>
      <c r="S173" s="215">
        <f>+R173-30</f>
        <v>-40</v>
      </c>
      <c r="T173" s="216"/>
      <c r="U173" s="216"/>
    </row>
    <row r="174" spans="1:21" s="212" customFormat="1" ht="12.75" x14ac:dyDescent="0.2">
      <c r="A174" s="208" t="s">
        <v>423</v>
      </c>
      <c r="B174" s="209">
        <v>45034</v>
      </c>
      <c r="C174" s="208" t="s">
        <v>424</v>
      </c>
      <c r="D174" s="210">
        <v>770.82</v>
      </c>
      <c r="E174" s="211">
        <v>21</v>
      </c>
      <c r="L174" s="209">
        <v>45034</v>
      </c>
      <c r="M174" s="213"/>
      <c r="N174" s="214">
        <f>+O174</f>
        <v>45064</v>
      </c>
      <c r="O174" s="209">
        <v>45064</v>
      </c>
      <c r="P174" s="215">
        <f>+L174-N174</f>
        <v>-30</v>
      </c>
      <c r="Q174" s="215">
        <f>+N174-O174</f>
        <v>0</v>
      </c>
      <c r="R174" s="215">
        <f>+L174-O174</f>
        <v>-30</v>
      </c>
      <c r="S174" s="215">
        <f>+R174-30</f>
        <v>-60</v>
      </c>
      <c r="T174" s="216"/>
      <c r="U174" s="216"/>
    </row>
    <row r="175" spans="1:21" s="212" customFormat="1" ht="12.75" x14ac:dyDescent="0.2">
      <c r="A175" s="208" t="s">
        <v>425</v>
      </c>
      <c r="B175" s="209">
        <v>45036</v>
      </c>
      <c r="C175" s="208" t="s">
        <v>426</v>
      </c>
      <c r="D175" s="210">
        <v>452.64</v>
      </c>
      <c r="E175" s="211">
        <v>21</v>
      </c>
      <c r="L175" s="209">
        <v>45036</v>
      </c>
      <c r="M175" s="213"/>
      <c r="N175" s="214">
        <f>+O175</f>
        <v>45043</v>
      </c>
      <c r="O175" s="209">
        <v>45043</v>
      </c>
      <c r="P175" s="215">
        <f>+L175-N175</f>
        <v>-7</v>
      </c>
      <c r="Q175" s="215">
        <f>+N175-O175</f>
        <v>0</v>
      </c>
      <c r="R175" s="215">
        <f>+L175-O175</f>
        <v>-7</v>
      </c>
      <c r="S175" s="215">
        <f>+R175-30</f>
        <v>-37</v>
      </c>
      <c r="T175" s="216"/>
      <c r="U175" s="216"/>
    </row>
    <row r="176" spans="1:21" s="212" customFormat="1" ht="12.75" x14ac:dyDescent="0.2">
      <c r="A176" s="208" t="s">
        <v>427</v>
      </c>
      <c r="B176" s="209">
        <v>45042</v>
      </c>
      <c r="C176" s="208" t="s">
        <v>428</v>
      </c>
      <c r="D176" s="210">
        <v>57.34</v>
      </c>
      <c r="E176" s="211">
        <v>21</v>
      </c>
      <c r="L176" s="209">
        <v>45042</v>
      </c>
      <c r="M176" s="213"/>
      <c r="N176" s="214">
        <f>+O176</f>
        <v>45061</v>
      </c>
      <c r="O176" s="209">
        <v>45061</v>
      </c>
      <c r="P176" s="215">
        <f>+L176-N176</f>
        <v>-19</v>
      </c>
      <c r="Q176" s="215">
        <f>+N176-O176</f>
        <v>0</v>
      </c>
      <c r="R176" s="215">
        <f>+L176-O176</f>
        <v>-19</v>
      </c>
      <c r="S176" s="215">
        <f>+R176-30</f>
        <v>-49</v>
      </c>
      <c r="T176" s="216"/>
      <c r="U176" s="216"/>
    </row>
    <row r="177" spans="1:21" s="212" customFormat="1" ht="12.75" x14ac:dyDescent="0.2">
      <c r="A177" s="208" t="s">
        <v>429</v>
      </c>
      <c r="B177" s="209">
        <v>45041</v>
      </c>
      <c r="C177" s="208" t="s">
        <v>430</v>
      </c>
      <c r="D177" s="210">
        <v>356.39</v>
      </c>
      <c r="E177" s="211">
        <v>21</v>
      </c>
      <c r="L177" s="209">
        <v>45041</v>
      </c>
      <c r="M177" s="213"/>
      <c r="N177" s="214">
        <f>+O177</f>
        <v>45075</v>
      </c>
      <c r="O177" s="209">
        <v>45075</v>
      </c>
      <c r="P177" s="215">
        <f>+L177-N177</f>
        <v>-34</v>
      </c>
      <c r="Q177" s="215">
        <f>+N177-O177</f>
        <v>0</v>
      </c>
      <c r="R177" s="215">
        <f>+L177-O177</f>
        <v>-34</v>
      </c>
      <c r="S177" s="215">
        <f>+R177-30</f>
        <v>-64</v>
      </c>
      <c r="T177" s="216"/>
      <c r="U177" s="216"/>
    </row>
    <row r="178" spans="1:21" s="212" customFormat="1" ht="12.75" x14ac:dyDescent="0.2">
      <c r="A178" s="208" t="s">
        <v>431</v>
      </c>
      <c r="B178" s="209">
        <v>45058</v>
      </c>
      <c r="C178" s="208" t="s">
        <v>432</v>
      </c>
      <c r="D178" s="210">
        <v>34.909999999999997</v>
      </c>
      <c r="E178" s="211">
        <v>21</v>
      </c>
      <c r="L178" s="209">
        <v>45058</v>
      </c>
      <c r="M178" s="213"/>
      <c r="N178" s="214">
        <f>+O178</f>
        <v>45089</v>
      </c>
      <c r="O178" s="209">
        <v>45089</v>
      </c>
      <c r="P178" s="215">
        <f>+L178-N178</f>
        <v>-31</v>
      </c>
      <c r="Q178" s="215">
        <f>+N178-O178</f>
        <v>0</v>
      </c>
      <c r="R178" s="215">
        <f>+L178-O178</f>
        <v>-31</v>
      </c>
      <c r="S178" s="215">
        <f>+R178-30</f>
        <v>-61</v>
      </c>
      <c r="T178" s="216"/>
      <c r="U178" s="216"/>
    </row>
    <row r="179" spans="1:21" s="212" customFormat="1" ht="12.75" x14ac:dyDescent="0.2">
      <c r="A179" s="208" t="s">
        <v>433</v>
      </c>
      <c r="B179" s="209">
        <v>45058</v>
      </c>
      <c r="C179" s="208" t="s">
        <v>434</v>
      </c>
      <c r="D179" s="210">
        <v>184.6</v>
      </c>
      <c r="E179" s="211">
        <v>21</v>
      </c>
      <c r="L179" s="209">
        <v>45058</v>
      </c>
      <c r="M179" s="213"/>
      <c r="N179" s="214">
        <f>+O179</f>
        <v>45061</v>
      </c>
      <c r="O179" s="209">
        <v>45061</v>
      </c>
      <c r="P179" s="215">
        <f>+L179-N179</f>
        <v>-3</v>
      </c>
      <c r="Q179" s="215">
        <f>+N179-O179</f>
        <v>0</v>
      </c>
      <c r="R179" s="215">
        <f>+L179-O179</f>
        <v>-3</v>
      </c>
      <c r="S179" s="215">
        <f>+R179-30</f>
        <v>-33</v>
      </c>
      <c r="T179" s="216"/>
      <c r="U179" s="216"/>
    </row>
    <row r="180" spans="1:21" s="212" customFormat="1" ht="12.75" x14ac:dyDescent="0.2">
      <c r="A180" s="208" t="s">
        <v>435</v>
      </c>
      <c r="B180" s="209">
        <v>45062</v>
      </c>
      <c r="C180" s="208" t="s">
        <v>436</v>
      </c>
      <c r="D180" s="210">
        <v>217.8</v>
      </c>
      <c r="E180" s="211">
        <v>21</v>
      </c>
      <c r="L180" s="209">
        <v>45062</v>
      </c>
      <c r="M180" s="213"/>
      <c r="N180" s="214">
        <f>+O180</f>
        <v>45076</v>
      </c>
      <c r="O180" s="209">
        <v>45076</v>
      </c>
      <c r="P180" s="215">
        <f>+L180-N180</f>
        <v>-14</v>
      </c>
      <c r="Q180" s="215">
        <f>+N180-O180</f>
        <v>0</v>
      </c>
      <c r="R180" s="215">
        <f>+L180-O180</f>
        <v>-14</v>
      </c>
      <c r="S180" s="215">
        <f>+R180-30</f>
        <v>-44</v>
      </c>
      <c r="T180" s="216"/>
      <c r="U180" s="216"/>
    </row>
    <row r="181" spans="1:21" s="212" customFormat="1" ht="12.75" x14ac:dyDescent="0.2">
      <c r="A181" s="208" t="s">
        <v>437</v>
      </c>
      <c r="B181" s="209">
        <v>45063</v>
      </c>
      <c r="C181" s="208" t="s">
        <v>438</v>
      </c>
      <c r="D181" s="210">
        <v>349.69</v>
      </c>
      <c r="E181" s="211">
        <v>21</v>
      </c>
      <c r="L181" s="209">
        <v>45063</v>
      </c>
      <c r="M181" s="213"/>
      <c r="N181" s="214">
        <f>+O181</f>
        <v>45076</v>
      </c>
      <c r="O181" s="209">
        <v>45076</v>
      </c>
      <c r="P181" s="215">
        <f>+L181-N181</f>
        <v>-13</v>
      </c>
      <c r="Q181" s="215">
        <f>+N181-O181</f>
        <v>0</v>
      </c>
      <c r="R181" s="215">
        <f>+L181-O181</f>
        <v>-13</v>
      </c>
      <c r="S181" s="215">
        <f>+R181-30</f>
        <v>-43</v>
      </c>
      <c r="T181" s="216"/>
      <c r="U181" s="216"/>
    </row>
    <row r="182" spans="1:21" s="212" customFormat="1" ht="12.75" x14ac:dyDescent="0.2">
      <c r="A182" s="208" t="s">
        <v>439</v>
      </c>
      <c r="B182" s="209">
        <v>45062</v>
      </c>
      <c r="C182" s="208" t="s">
        <v>440</v>
      </c>
      <c r="D182" s="210">
        <v>761.53</v>
      </c>
      <c r="E182" s="211">
        <v>21</v>
      </c>
      <c r="L182" s="209">
        <v>45061</v>
      </c>
      <c r="M182" s="213"/>
      <c r="N182" s="214">
        <f>+O182</f>
        <v>45092</v>
      </c>
      <c r="O182" s="209">
        <v>45092</v>
      </c>
      <c r="P182" s="215">
        <f>+L182-N182</f>
        <v>-31</v>
      </c>
      <c r="Q182" s="215">
        <f>+N182-O182</f>
        <v>0</v>
      </c>
      <c r="R182" s="215">
        <f>+L182-O182</f>
        <v>-31</v>
      </c>
      <c r="S182" s="215">
        <f>+R182-30</f>
        <v>-61</v>
      </c>
      <c r="T182" s="216"/>
      <c r="U182" s="216"/>
    </row>
    <row r="183" spans="1:21" s="212" customFormat="1" ht="12.75" x14ac:dyDescent="0.2">
      <c r="A183" s="208" t="s">
        <v>441</v>
      </c>
      <c r="B183" s="209">
        <v>45075</v>
      </c>
      <c r="C183" s="208" t="s">
        <v>442</v>
      </c>
      <c r="D183" s="210">
        <v>60.5</v>
      </c>
      <c r="E183" s="211">
        <v>21</v>
      </c>
      <c r="L183" s="209">
        <v>45075</v>
      </c>
      <c r="M183" s="213"/>
      <c r="N183" s="214">
        <f>+O183</f>
        <v>45102</v>
      </c>
      <c r="O183" s="209">
        <v>45102</v>
      </c>
      <c r="P183" s="215">
        <f>+L183-N183</f>
        <v>-27</v>
      </c>
      <c r="Q183" s="215">
        <f>+N183-O183</f>
        <v>0</v>
      </c>
      <c r="R183" s="215">
        <f>+L183-O183</f>
        <v>-27</v>
      </c>
      <c r="S183" s="215">
        <f>+R183-30</f>
        <v>-57</v>
      </c>
      <c r="T183" s="216"/>
      <c r="U183" s="216"/>
    </row>
    <row r="184" spans="1:21" s="212" customFormat="1" ht="12.75" x14ac:dyDescent="0.2">
      <c r="A184" s="208" t="s">
        <v>443</v>
      </c>
      <c r="B184" s="209">
        <v>45077</v>
      </c>
      <c r="C184" s="208" t="s">
        <v>444</v>
      </c>
      <c r="D184" s="210">
        <v>8.23</v>
      </c>
      <c r="E184" s="211">
        <v>21</v>
      </c>
      <c r="L184" s="209">
        <v>45077</v>
      </c>
      <c r="M184" s="213"/>
      <c r="N184" s="214">
        <f>+O184</f>
        <v>45082</v>
      </c>
      <c r="O184" s="209">
        <v>45082</v>
      </c>
      <c r="P184" s="215">
        <f>+L184-N184</f>
        <v>-5</v>
      </c>
      <c r="Q184" s="215">
        <f>+N184-O184</f>
        <v>0</v>
      </c>
      <c r="R184" s="215">
        <f>+L184-O184</f>
        <v>-5</v>
      </c>
      <c r="S184" s="215">
        <f>+R184-30</f>
        <v>-35</v>
      </c>
      <c r="T184" s="216"/>
      <c r="U184" s="216"/>
    </row>
    <row r="185" spans="1:21" s="212" customFormat="1" ht="12.75" x14ac:dyDescent="0.2">
      <c r="A185" s="208" t="s">
        <v>445</v>
      </c>
      <c r="B185" s="209">
        <v>45077</v>
      </c>
      <c r="C185" s="208" t="s">
        <v>446</v>
      </c>
      <c r="D185" s="210">
        <v>161.91</v>
      </c>
      <c r="E185" s="211">
        <v>21</v>
      </c>
      <c r="L185" s="209">
        <v>45077</v>
      </c>
      <c r="M185" s="213"/>
      <c r="N185" s="214">
        <f>+O185</f>
        <v>45082</v>
      </c>
      <c r="O185" s="209">
        <v>45082</v>
      </c>
      <c r="P185" s="215">
        <f>+L185-N185</f>
        <v>-5</v>
      </c>
      <c r="Q185" s="215">
        <f>+N185-O185</f>
        <v>0</v>
      </c>
      <c r="R185" s="215">
        <f>+L185-O185</f>
        <v>-5</v>
      </c>
      <c r="S185" s="215">
        <f>+R185-30</f>
        <v>-35</v>
      </c>
      <c r="T185" s="216"/>
      <c r="U185" s="216"/>
    </row>
    <row r="186" spans="1:21" s="212" customFormat="1" ht="12.75" x14ac:dyDescent="0.2">
      <c r="A186" s="208" t="s">
        <v>447</v>
      </c>
      <c r="B186" s="209">
        <v>45077</v>
      </c>
      <c r="C186" s="208" t="s">
        <v>448</v>
      </c>
      <c r="D186" s="210">
        <v>49.39</v>
      </c>
      <c r="E186" s="211">
        <v>21</v>
      </c>
      <c r="L186" s="209">
        <v>45077</v>
      </c>
      <c r="M186" s="213"/>
      <c r="N186" s="214">
        <f>+O186</f>
        <v>45082</v>
      </c>
      <c r="O186" s="209">
        <v>45082</v>
      </c>
      <c r="P186" s="215">
        <f>+L186-N186</f>
        <v>-5</v>
      </c>
      <c r="Q186" s="215">
        <f>+N186-O186</f>
        <v>0</v>
      </c>
      <c r="R186" s="215">
        <f>+L186-O186</f>
        <v>-5</v>
      </c>
      <c r="S186" s="215">
        <f>+R186-30</f>
        <v>-35</v>
      </c>
      <c r="T186" s="216"/>
      <c r="U186" s="216"/>
    </row>
    <row r="187" spans="1:21" s="212" customFormat="1" ht="12.75" x14ac:dyDescent="0.2">
      <c r="A187" s="208" t="s">
        <v>449</v>
      </c>
      <c r="B187" s="209">
        <v>45071</v>
      </c>
      <c r="C187" s="208" t="s">
        <v>450</v>
      </c>
      <c r="D187" s="210">
        <v>435.93</v>
      </c>
      <c r="E187" s="211">
        <v>21</v>
      </c>
      <c r="L187" s="209">
        <v>45071</v>
      </c>
      <c r="M187" s="213"/>
      <c r="N187" s="214">
        <f>+O187</f>
        <v>45107</v>
      </c>
      <c r="O187" s="209">
        <v>45107</v>
      </c>
      <c r="P187" s="215">
        <f>+L187-N187</f>
        <v>-36</v>
      </c>
      <c r="Q187" s="215">
        <f>+N187-O187</f>
        <v>0</v>
      </c>
      <c r="R187" s="215">
        <f>+L187-O187</f>
        <v>-36</v>
      </c>
      <c r="S187" s="215">
        <f>+R187-30</f>
        <v>-66</v>
      </c>
      <c r="T187" s="216"/>
      <c r="U187" s="216"/>
    </row>
    <row r="188" spans="1:21" s="212" customFormat="1" ht="12.75" x14ac:dyDescent="0.2">
      <c r="A188" s="208" t="s">
        <v>451</v>
      </c>
      <c r="B188" s="209">
        <v>45058</v>
      </c>
      <c r="C188" s="208" t="s">
        <v>452</v>
      </c>
      <c r="D188" s="210">
        <v>72.599999999999994</v>
      </c>
      <c r="E188" s="211">
        <v>21</v>
      </c>
      <c r="L188" s="209">
        <v>45058</v>
      </c>
      <c r="M188" s="213"/>
      <c r="N188" s="214">
        <f>+O188</f>
        <v>45089</v>
      </c>
      <c r="O188" s="209">
        <v>45089</v>
      </c>
      <c r="P188" s="215">
        <f>+L188-N188</f>
        <v>-31</v>
      </c>
      <c r="Q188" s="215">
        <f>+N188-O188</f>
        <v>0</v>
      </c>
      <c r="R188" s="215">
        <f>+L188-O188</f>
        <v>-31</v>
      </c>
      <c r="S188" s="215">
        <f>+R188-30</f>
        <v>-61</v>
      </c>
      <c r="T188" s="216"/>
      <c r="U188" s="216"/>
    </row>
    <row r="189" spans="1:21" s="212" customFormat="1" ht="12.75" x14ac:dyDescent="0.2">
      <c r="A189" s="208" t="s">
        <v>453</v>
      </c>
      <c r="B189" s="209">
        <v>45077</v>
      </c>
      <c r="C189" s="208" t="s">
        <v>454</v>
      </c>
      <c r="D189" s="210">
        <v>290.39999999999998</v>
      </c>
      <c r="E189" s="211">
        <v>21</v>
      </c>
      <c r="L189" s="209">
        <v>45077</v>
      </c>
      <c r="M189" s="213"/>
      <c r="N189" s="214">
        <f>+O189</f>
        <v>45105</v>
      </c>
      <c r="O189" s="209">
        <v>45105</v>
      </c>
      <c r="P189" s="215">
        <f>+L189-N189</f>
        <v>-28</v>
      </c>
      <c r="Q189" s="215">
        <f>+N189-O189</f>
        <v>0</v>
      </c>
      <c r="R189" s="215">
        <f>+L189-O189</f>
        <v>-28</v>
      </c>
      <c r="S189" s="215">
        <f>+R189-30</f>
        <v>-58</v>
      </c>
      <c r="T189" s="216"/>
      <c r="U189" s="216"/>
    </row>
    <row r="190" spans="1:21" s="212" customFormat="1" ht="12.75" x14ac:dyDescent="0.2">
      <c r="A190" s="208" t="s">
        <v>455</v>
      </c>
      <c r="B190" s="209">
        <v>45075</v>
      </c>
      <c r="C190" s="208" t="s">
        <v>456</v>
      </c>
      <c r="D190" s="210">
        <v>1981.12</v>
      </c>
      <c r="E190" s="211">
        <v>21</v>
      </c>
      <c r="L190" s="209">
        <v>45075</v>
      </c>
      <c r="M190" s="213"/>
      <c r="N190" s="214">
        <f>+O190</f>
        <v>45092</v>
      </c>
      <c r="O190" s="209">
        <v>45092</v>
      </c>
      <c r="P190" s="215">
        <f>+L190-N190</f>
        <v>-17</v>
      </c>
      <c r="Q190" s="215">
        <f>+N190-O190</f>
        <v>0</v>
      </c>
      <c r="R190" s="215">
        <f>+L190-O190</f>
        <v>-17</v>
      </c>
      <c r="S190" s="215">
        <f>+R190-30</f>
        <v>-47</v>
      </c>
      <c r="T190" s="216"/>
      <c r="U190" s="216"/>
    </row>
    <row r="191" spans="1:21" s="212" customFormat="1" ht="12.75" x14ac:dyDescent="0.2">
      <c r="A191" s="208" t="s">
        <v>457</v>
      </c>
      <c r="B191" s="209">
        <v>45089</v>
      </c>
      <c r="C191" s="208" t="s">
        <v>458</v>
      </c>
      <c r="D191" s="210">
        <v>290.39999999999998</v>
      </c>
      <c r="E191" s="211">
        <v>21</v>
      </c>
      <c r="L191" s="209">
        <v>45089</v>
      </c>
      <c r="M191" s="213"/>
      <c r="N191" s="214">
        <f>+O191</f>
        <v>45092</v>
      </c>
      <c r="O191" s="209">
        <v>45092</v>
      </c>
      <c r="P191" s="215">
        <f>+L191-N191</f>
        <v>-3</v>
      </c>
      <c r="Q191" s="215">
        <f>+N191-O191</f>
        <v>0</v>
      </c>
      <c r="R191" s="215">
        <f>+L191-O191</f>
        <v>-3</v>
      </c>
      <c r="S191" s="215">
        <f>+R191-30</f>
        <v>-33</v>
      </c>
      <c r="T191" s="216"/>
      <c r="U191" s="216"/>
    </row>
    <row r="192" spans="1:21" s="212" customFormat="1" ht="12.75" x14ac:dyDescent="0.2">
      <c r="A192" s="208" t="s">
        <v>459</v>
      </c>
      <c r="B192" s="209">
        <v>45090</v>
      </c>
      <c r="C192" s="208" t="s">
        <v>460</v>
      </c>
      <c r="D192" s="210">
        <v>151.25</v>
      </c>
      <c r="E192" s="211">
        <v>21</v>
      </c>
      <c r="L192" s="209">
        <v>45090</v>
      </c>
      <c r="M192" s="213"/>
      <c r="N192" s="214">
        <f>+O192</f>
        <v>45105</v>
      </c>
      <c r="O192" s="209">
        <v>45105</v>
      </c>
      <c r="P192" s="215">
        <f>+L192-N192</f>
        <v>-15</v>
      </c>
      <c r="Q192" s="215">
        <f>+N192-O192</f>
        <v>0</v>
      </c>
      <c r="R192" s="215">
        <f>+L192-O192</f>
        <v>-15</v>
      </c>
      <c r="S192" s="215">
        <f>+R192-30</f>
        <v>-45</v>
      </c>
      <c r="T192" s="216"/>
      <c r="U192" s="216"/>
    </row>
    <row r="193" spans="1:21" s="221" customFormat="1" ht="12.75" x14ac:dyDescent="0.2">
      <c r="A193" s="217" t="s">
        <v>461</v>
      </c>
      <c r="B193" s="218">
        <v>45028</v>
      </c>
      <c r="C193" s="217" t="s">
        <v>462</v>
      </c>
      <c r="D193" s="219">
        <v>478.86</v>
      </c>
      <c r="E193" s="220">
        <v>22</v>
      </c>
      <c r="L193" s="218">
        <v>45027</v>
      </c>
      <c r="M193" s="222"/>
      <c r="N193" s="223">
        <f>+O193</f>
        <v>45057</v>
      </c>
      <c r="O193" s="218">
        <v>45057</v>
      </c>
      <c r="P193" s="224">
        <f>+L193-N193</f>
        <v>-30</v>
      </c>
      <c r="Q193" s="224">
        <f>+N193-O193</f>
        <v>0</v>
      </c>
      <c r="R193" s="224">
        <f>+L193-O193</f>
        <v>-30</v>
      </c>
      <c r="S193" s="224">
        <f>+R193-30</f>
        <v>-60</v>
      </c>
      <c r="T193" s="225"/>
      <c r="U193" s="225"/>
    </row>
    <row r="194" spans="1:21" s="221" customFormat="1" ht="12.75" x14ac:dyDescent="0.2">
      <c r="A194" s="217" t="s">
        <v>463</v>
      </c>
      <c r="B194" s="218">
        <v>45034</v>
      </c>
      <c r="C194" s="217" t="s">
        <v>464</v>
      </c>
      <c r="D194" s="219">
        <v>121.21</v>
      </c>
      <c r="E194" s="220">
        <v>22</v>
      </c>
      <c r="L194" s="218">
        <v>45034</v>
      </c>
      <c r="M194" s="222"/>
      <c r="N194" s="223">
        <f>+O194</f>
        <v>45042</v>
      </c>
      <c r="O194" s="218">
        <v>45042</v>
      </c>
      <c r="P194" s="224">
        <f>+L194-N194</f>
        <v>-8</v>
      </c>
      <c r="Q194" s="224">
        <f>+N194-O194</f>
        <v>0</v>
      </c>
      <c r="R194" s="224">
        <f>+L194-O194</f>
        <v>-8</v>
      </c>
      <c r="S194" s="224">
        <f>+R194-30</f>
        <v>-38</v>
      </c>
      <c r="T194" s="225"/>
      <c r="U194" s="225"/>
    </row>
    <row r="195" spans="1:21" s="221" customFormat="1" ht="12.75" x14ac:dyDescent="0.2">
      <c r="A195" s="217" t="s">
        <v>465</v>
      </c>
      <c r="B195" s="218">
        <v>45041</v>
      </c>
      <c r="C195" s="217" t="s">
        <v>466</v>
      </c>
      <c r="D195" s="219">
        <v>508.94</v>
      </c>
      <c r="E195" s="220">
        <v>22</v>
      </c>
      <c r="L195" s="218">
        <v>45041</v>
      </c>
      <c r="M195" s="222"/>
      <c r="N195" s="223">
        <f>+O195</f>
        <v>45071</v>
      </c>
      <c r="O195" s="218">
        <v>45071</v>
      </c>
      <c r="P195" s="224">
        <f>+L195-N195</f>
        <v>-30</v>
      </c>
      <c r="Q195" s="224">
        <f>+N195-O195</f>
        <v>0</v>
      </c>
      <c r="R195" s="224">
        <f>+L195-O195</f>
        <v>-30</v>
      </c>
      <c r="S195" s="224">
        <f>+R195-30</f>
        <v>-60</v>
      </c>
      <c r="T195" s="225"/>
      <c r="U195" s="225"/>
    </row>
    <row r="196" spans="1:21" s="221" customFormat="1" ht="12.75" x14ac:dyDescent="0.2">
      <c r="A196" s="217" t="s">
        <v>467</v>
      </c>
      <c r="B196" s="218">
        <v>45046</v>
      </c>
      <c r="C196" s="217" t="s">
        <v>468</v>
      </c>
      <c r="D196" s="219">
        <v>637.08000000000004</v>
      </c>
      <c r="E196" s="220">
        <v>22</v>
      </c>
      <c r="L196" s="218">
        <v>45046</v>
      </c>
      <c r="M196" s="222"/>
      <c r="N196" s="223">
        <f>+O196</f>
        <v>45077</v>
      </c>
      <c r="O196" s="218">
        <v>45077</v>
      </c>
      <c r="P196" s="224">
        <f>+L196-N196</f>
        <v>-31</v>
      </c>
      <c r="Q196" s="224">
        <f>+N196-O196</f>
        <v>0</v>
      </c>
      <c r="R196" s="224">
        <f>+L196-O196</f>
        <v>-31</v>
      </c>
      <c r="S196" s="224">
        <f>+R196-30</f>
        <v>-61</v>
      </c>
      <c r="T196" s="225"/>
      <c r="U196" s="225"/>
    </row>
    <row r="197" spans="1:21" s="221" customFormat="1" ht="12.75" x14ac:dyDescent="0.2">
      <c r="A197" s="217" t="s">
        <v>469</v>
      </c>
      <c r="B197" s="218">
        <v>45046</v>
      </c>
      <c r="C197" s="217" t="s">
        <v>470</v>
      </c>
      <c r="D197" s="219">
        <v>204.39</v>
      </c>
      <c r="E197" s="220">
        <v>22</v>
      </c>
      <c r="L197" s="218">
        <v>45046</v>
      </c>
      <c r="M197" s="222"/>
      <c r="N197" s="223">
        <f>+O197</f>
        <v>45077</v>
      </c>
      <c r="O197" s="218">
        <v>45077</v>
      </c>
      <c r="P197" s="224">
        <f>+L197-N197</f>
        <v>-31</v>
      </c>
      <c r="Q197" s="224">
        <f>+N197-O197</f>
        <v>0</v>
      </c>
      <c r="R197" s="224">
        <f>+L197-O197</f>
        <v>-31</v>
      </c>
      <c r="S197" s="224">
        <f>+R197-30</f>
        <v>-61</v>
      </c>
      <c r="T197" s="225"/>
      <c r="U197" s="225"/>
    </row>
    <row r="198" spans="1:21" s="221" customFormat="1" ht="12.75" x14ac:dyDescent="0.2">
      <c r="A198" s="217" t="s">
        <v>471</v>
      </c>
      <c r="B198" s="218">
        <v>45034</v>
      </c>
      <c r="C198" s="217" t="s">
        <v>472</v>
      </c>
      <c r="D198" s="219">
        <v>124.51</v>
      </c>
      <c r="E198" s="220">
        <v>22</v>
      </c>
      <c r="L198" s="218">
        <v>45034</v>
      </c>
      <c r="M198" s="222"/>
      <c r="N198" s="223">
        <f>+O198</f>
        <v>45061</v>
      </c>
      <c r="O198" s="218">
        <v>45061</v>
      </c>
      <c r="P198" s="224">
        <f>+L198-N198</f>
        <v>-27</v>
      </c>
      <c r="Q198" s="224">
        <f>+N198-O198</f>
        <v>0</v>
      </c>
      <c r="R198" s="224">
        <f>+L198-O198</f>
        <v>-27</v>
      </c>
      <c r="S198" s="224">
        <f>+R198-30</f>
        <v>-57</v>
      </c>
      <c r="T198" s="225"/>
      <c r="U198" s="225"/>
    </row>
    <row r="199" spans="1:21" s="221" customFormat="1" ht="12.75" x14ac:dyDescent="0.2">
      <c r="A199" s="217" t="s">
        <v>473</v>
      </c>
      <c r="B199" s="218">
        <v>45046</v>
      </c>
      <c r="C199" s="217" t="s">
        <v>474</v>
      </c>
      <c r="D199" s="219">
        <v>77.290000000000006</v>
      </c>
      <c r="E199" s="220">
        <v>22</v>
      </c>
      <c r="L199" s="218">
        <v>45046</v>
      </c>
      <c r="M199" s="222"/>
      <c r="N199" s="223">
        <f>+O199</f>
        <v>45071</v>
      </c>
      <c r="O199" s="218">
        <v>45071</v>
      </c>
      <c r="P199" s="224">
        <f>+L199-N199</f>
        <v>-25</v>
      </c>
      <c r="Q199" s="224">
        <f>+N199-O199</f>
        <v>0</v>
      </c>
      <c r="R199" s="224">
        <f>+L199-O199</f>
        <v>-25</v>
      </c>
      <c r="S199" s="224">
        <f>+R199-30</f>
        <v>-55</v>
      </c>
      <c r="T199" s="225"/>
      <c r="U199" s="225"/>
    </row>
    <row r="200" spans="1:21" s="221" customFormat="1" ht="12.75" x14ac:dyDescent="0.2">
      <c r="A200" s="217" t="s">
        <v>475</v>
      </c>
      <c r="B200" s="218">
        <v>45049</v>
      </c>
      <c r="C200" s="217" t="s">
        <v>476</v>
      </c>
      <c r="D200" s="219">
        <v>5579.28</v>
      </c>
      <c r="E200" s="220">
        <v>22</v>
      </c>
      <c r="L200" s="218">
        <v>45049</v>
      </c>
      <c r="M200" s="222"/>
      <c r="N200" s="223">
        <f>+O200</f>
        <v>45061</v>
      </c>
      <c r="O200" s="218">
        <v>45061</v>
      </c>
      <c r="P200" s="224">
        <f>+L200-N200</f>
        <v>-12</v>
      </c>
      <c r="Q200" s="224">
        <f>+N200-O200</f>
        <v>0</v>
      </c>
      <c r="R200" s="224">
        <f>+L200-O200</f>
        <v>-12</v>
      </c>
      <c r="S200" s="224">
        <f>+R200-30</f>
        <v>-42</v>
      </c>
      <c r="T200" s="225"/>
      <c r="U200" s="225"/>
    </row>
    <row r="201" spans="1:21" s="221" customFormat="1" ht="12.75" x14ac:dyDescent="0.2">
      <c r="A201" s="217" t="s">
        <v>477</v>
      </c>
      <c r="B201" s="218">
        <v>45048</v>
      </c>
      <c r="C201" s="217" t="s">
        <v>478</v>
      </c>
      <c r="D201" s="219">
        <v>11007.36</v>
      </c>
      <c r="E201" s="220">
        <v>22</v>
      </c>
      <c r="L201" s="218">
        <v>45048</v>
      </c>
      <c r="M201" s="222"/>
      <c r="N201" s="223">
        <f>+O201</f>
        <v>45061</v>
      </c>
      <c r="O201" s="218">
        <v>45061</v>
      </c>
      <c r="P201" s="224">
        <f>+L201-N201</f>
        <v>-13</v>
      </c>
      <c r="Q201" s="224">
        <f>+N201-O201</f>
        <v>0</v>
      </c>
      <c r="R201" s="224">
        <f>+L201-O201</f>
        <v>-13</v>
      </c>
      <c r="S201" s="224">
        <f>+R201-30</f>
        <v>-43</v>
      </c>
      <c r="T201" s="225"/>
      <c r="U201" s="225"/>
    </row>
    <row r="202" spans="1:21" s="221" customFormat="1" ht="12.75" x14ac:dyDescent="0.2">
      <c r="A202" s="217" t="s">
        <v>479</v>
      </c>
      <c r="B202" s="218">
        <v>45049</v>
      </c>
      <c r="C202" s="217" t="s">
        <v>480</v>
      </c>
      <c r="D202" s="219">
        <v>8771.49</v>
      </c>
      <c r="E202" s="220">
        <v>22</v>
      </c>
      <c r="L202" s="218">
        <v>45049</v>
      </c>
      <c r="M202" s="222"/>
      <c r="N202" s="223">
        <f>+O202</f>
        <v>45061</v>
      </c>
      <c r="O202" s="218">
        <v>45061</v>
      </c>
      <c r="P202" s="224">
        <f>+L202-N202</f>
        <v>-12</v>
      </c>
      <c r="Q202" s="224">
        <f>+N202-O202</f>
        <v>0</v>
      </c>
      <c r="R202" s="224">
        <f>+L202-O202</f>
        <v>-12</v>
      </c>
      <c r="S202" s="224">
        <f>+R202-30</f>
        <v>-42</v>
      </c>
      <c r="T202" s="225"/>
      <c r="U202" s="225"/>
    </row>
    <row r="203" spans="1:21" s="221" customFormat="1" ht="12.75" x14ac:dyDescent="0.2">
      <c r="A203" s="217" t="s">
        <v>481</v>
      </c>
      <c r="B203" s="218">
        <v>45050</v>
      </c>
      <c r="C203" s="217" t="s">
        <v>482</v>
      </c>
      <c r="D203" s="219">
        <v>16.940000000000001</v>
      </c>
      <c r="E203" s="220">
        <v>22</v>
      </c>
      <c r="L203" s="218">
        <v>45050</v>
      </c>
      <c r="M203" s="222"/>
      <c r="N203" s="223">
        <f>+O203</f>
        <v>45064</v>
      </c>
      <c r="O203" s="218">
        <v>45064</v>
      </c>
      <c r="P203" s="224">
        <f>+L203-N203</f>
        <v>-14</v>
      </c>
      <c r="Q203" s="224">
        <f>+N203-O203</f>
        <v>0</v>
      </c>
      <c r="R203" s="224">
        <f>+L203-O203</f>
        <v>-14</v>
      </c>
      <c r="S203" s="224">
        <f>+R203-30</f>
        <v>-44</v>
      </c>
      <c r="T203" s="225"/>
      <c r="U203" s="225"/>
    </row>
    <row r="204" spans="1:21" s="221" customFormat="1" ht="12.75" x14ac:dyDescent="0.2">
      <c r="A204" s="217" t="s">
        <v>483</v>
      </c>
      <c r="B204" s="218">
        <v>45056</v>
      </c>
      <c r="C204" s="217" t="s">
        <v>484</v>
      </c>
      <c r="D204" s="219">
        <v>168.12</v>
      </c>
      <c r="E204" s="220">
        <v>22</v>
      </c>
      <c r="L204" s="218">
        <v>45056</v>
      </c>
      <c r="M204" s="222"/>
      <c r="N204" s="223">
        <f>+O204</f>
        <v>45086</v>
      </c>
      <c r="O204" s="218">
        <v>45086</v>
      </c>
      <c r="P204" s="224">
        <f>+L204-N204</f>
        <v>-30</v>
      </c>
      <c r="Q204" s="224">
        <f>+N204-O204</f>
        <v>0</v>
      </c>
      <c r="R204" s="224">
        <f>+L204-O204</f>
        <v>-30</v>
      </c>
      <c r="S204" s="224">
        <f>+R204-30</f>
        <v>-60</v>
      </c>
      <c r="T204" s="225"/>
      <c r="U204" s="225"/>
    </row>
    <row r="205" spans="1:21" s="221" customFormat="1" ht="12.75" x14ac:dyDescent="0.2">
      <c r="A205" s="217" t="s">
        <v>485</v>
      </c>
      <c r="B205" s="218">
        <v>45070</v>
      </c>
      <c r="C205" s="217" t="s">
        <v>486</v>
      </c>
      <c r="D205" s="219">
        <v>205.31</v>
      </c>
      <c r="E205" s="220">
        <v>22</v>
      </c>
      <c r="L205" s="218">
        <v>45070</v>
      </c>
      <c r="M205" s="222"/>
      <c r="N205" s="223">
        <f>+O205</f>
        <v>45079</v>
      </c>
      <c r="O205" s="218">
        <v>45079</v>
      </c>
      <c r="P205" s="224">
        <f>+L205-N205</f>
        <v>-9</v>
      </c>
      <c r="Q205" s="224">
        <f>+N205-O205</f>
        <v>0</v>
      </c>
      <c r="R205" s="224">
        <f>+L205-O205</f>
        <v>-9</v>
      </c>
      <c r="S205" s="224">
        <f>+R205-30</f>
        <v>-39</v>
      </c>
      <c r="T205" s="225"/>
      <c r="U205" s="225"/>
    </row>
    <row r="206" spans="1:21" s="221" customFormat="1" ht="12.75" x14ac:dyDescent="0.2">
      <c r="A206" s="217" t="s">
        <v>487</v>
      </c>
      <c r="B206" s="218">
        <v>45063</v>
      </c>
      <c r="C206" s="217" t="s">
        <v>488</v>
      </c>
      <c r="D206" s="219">
        <v>12.38</v>
      </c>
      <c r="E206" s="220">
        <v>22</v>
      </c>
      <c r="L206" s="218">
        <v>45063</v>
      </c>
      <c r="M206" s="222"/>
      <c r="N206" s="223">
        <f>+O206</f>
        <v>45082</v>
      </c>
      <c r="O206" s="218">
        <v>45082</v>
      </c>
      <c r="P206" s="224">
        <f>+L206-N206</f>
        <v>-19</v>
      </c>
      <c r="Q206" s="224">
        <f>+N206-O206</f>
        <v>0</v>
      </c>
      <c r="R206" s="224">
        <f>+L206-O206</f>
        <v>-19</v>
      </c>
      <c r="S206" s="224">
        <f>+R206-30</f>
        <v>-49</v>
      </c>
      <c r="T206" s="225"/>
      <c r="U206" s="225"/>
    </row>
    <row r="207" spans="1:21" s="221" customFormat="1" ht="12.75" x14ac:dyDescent="0.2">
      <c r="A207" s="217" t="s">
        <v>489</v>
      </c>
      <c r="B207" s="218">
        <v>45058</v>
      </c>
      <c r="C207" s="217" t="s">
        <v>490</v>
      </c>
      <c r="D207" s="219">
        <v>174.6</v>
      </c>
      <c r="E207" s="220">
        <v>22</v>
      </c>
      <c r="L207" s="218">
        <v>45058</v>
      </c>
      <c r="M207" s="222"/>
      <c r="N207" s="223">
        <f>+O207</f>
        <v>45092</v>
      </c>
      <c r="O207" s="218">
        <v>45092</v>
      </c>
      <c r="P207" s="224">
        <f>+L207-N207</f>
        <v>-34</v>
      </c>
      <c r="Q207" s="224">
        <f>+N207-O207</f>
        <v>0</v>
      </c>
      <c r="R207" s="224">
        <f>+L207-O207</f>
        <v>-34</v>
      </c>
      <c r="S207" s="224">
        <f>+R207-30</f>
        <v>-64</v>
      </c>
      <c r="T207" s="225"/>
      <c r="U207" s="225"/>
    </row>
    <row r="208" spans="1:21" s="221" customFormat="1" ht="12.75" x14ac:dyDescent="0.2">
      <c r="A208" s="217" t="s">
        <v>491</v>
      </c>
      <c r="B208" s="218">
        <v>45065</v>
      </c>
      <c r="C208" s="217" t="s">
        <v>492</v>
      </c>
      <c r="D208" s="219">
        <v>3.8</v>
      </c>
      <c r="E208" s="220">
        <v>22</v>
      </c>
      <c r="L208" s="218">
        <v>45065</v>
      </c>
      <c r="M208" s="222"/>
      <c r="N208" s="223">
        <f>+O208</f>
        <v>45092</v>
      </c>
      <c r="O208" s="218">
        <v>45092</v>
      </c>
      <c r="P208" s="224">
        <f>+L208-N208</f>
        <v>-27</v>
      </c>
      <c r="Q208" s="224">
        <f>+N208-O208</f>
        <v>0</v>
      </c>
      <c r="R208" s="224">
        <f>+L208-O208</f>
        <v>-27</v>
      </c>
      <c r="S208" s="224">
        <f>+R208-30</f>
        <v>-57</v>
      </c>
      <c r="T208" s="225"/>
      <c r="U208" s="225"/>
    </row>
    <row r="209" spans="1:21" s="221" customFormat="1" ht="12.75" x14ac:dyDescent="0.2">
      <c r="A209" s="217" t="s">
        <v>493</v>
      </c>
      <c r="B209" s="218">
        <v>45055</v>
      </c>
      <c r="C209" s="217" t="s">
        <v>494</v>
      </c>
      <c r="D209" s="219">
        <v>154.63999999999999</v>
      </c>
      <c r="E209" s="220">
        <v>22</v>
      </c>
      <c r="L209" s="218">
        <v>45055</v>
      </c>
      <c r="M209" s="222"/>
      <c r="N209" s="223">
        <f>+O209</f>
        <v>45092</v>
      </c>
      <c r="O209" s="218">
        <v>45092</v>
      </c>
      <c r="P209" s="224">
        <f>+L209-N209</f>
        <v>-37</v>
      </c>
      <c r="Q209" s="224">
        <f>+N209-O209</f>
        <v>0</v>
      </c>
      <c r="R209" s="224">
        <f>+L209-O209</f>
        <v>-37</v>
      </c>
      <c r="S209" s="224">
        <f>+R209-30</f>
        <v>-67</v>
      </c>
      <c r="T209" s="225"/>
      <c r="U209" s="225"/>
    </row>
    <row r="210" spans="1:21" s="221" customFormat="1" ht="12.75" x14ac:dyDescent="0.2">
      <c r="A210" s="217" t="s">
        <v>495</v>
      </c>
      <c r="B210" s="218">
        <v>45078</v>
      </c>
      <c r="C210" s="217" t="s">
        <v>496</v>
      </c>
      <c r="D210" s="219">
        <v>21.14</v>
      </c>
      <c r="E210" s="220">
        <v>22</v>
      </c>
      <c r="L210" s="218">
        <v>45078</v>
      </c>
      <c r="M210" s="222"/>
      <c r="N210" s="223">
        <f>+O210</f>
        <v>45097</v>
      </c>
      <c r="O210" s="218">
        <v>45097</v>
      </c>
      <c r="P210" s="224">
        <f>+L210-N210</f>
        <v>-19</v>
      </c>
      <c r="Q210" s="224">
        <f>+N210-O210</f>
        <v>0</v>
      </c>
      <c r="R210" s="224">
        <f>+L210-O210</f>
        <v>-19</v>
      </c>
      <c r="S210" s="224">
        <f>+R210-30</f>
        <v>-49</v>
      </c>
      <c r="T210" s="225"/>
      <c r="U210" s="225"/>
    </row>
    <row r="211" spans="1:21" s="221" customFormat="1" ht="12.75" x14ac:dyDescent="0.2">
      <c r="A211" s="217" t="s">
        <v>497</v>
      </c>
      <c r="B211" s="218">
        <v>45070</v>
      </c>
      <c r="C211" s="217" t="s">
        <v>498</v>
      </c>
      <c r="D211" s="219">
        <v>11.5</v>
      </c>
      <c r="E211" s="220">
        <v>22</v>
      </c>
      <c r="L211" s="218">
        <v>45070</v>
      </c>
      <c r="M211" s="222"/>
      <c r="N211" s="223">
        <f>+O211</f>
        <v>45082</v>
      </c>
      <c r="O211" s="218">
        <v>45082</v>
      </c>
      <c r="P211" s="224">
        <f>+L211-N211</f>
        <v>-12</v>
      </c>
      <c r="Q211" s="224">
        <f>+N211-O211</f>
        <v>0</v>
      </c>
      <c r="R211" s="224">
        <f>+L211-O211</f>
        <v>-12</v>
      </c>
      <c r="S211" s="224">
        <f>+R211-30</f>
        <v>-42</v>
      </c>
      <c r="T211" s="225"/>
      <c r="U211" s="225"/>
    </row>
    <row r="212" spans="1:21" s="221" customFormat="1" ht="12.75" x14ac:dyDescent="0.2">
      <c r="A212" s="217" t="s">
        <v>499</v>
      </c>
      <c r="B212" s="218">
        <v>45085</v>
      </c>
      <c r="C212" s="217" t="s">
        <v>500</v>
      </c>
      <c r="D212" s="219">
        <v>4.74</v>
      </c>
      <c r="E212" s="220">
        <v>22</v>
      </c>
      <c r="L212" s="218">
        <v>45085</v>
      </c>
      <c r="M212" s="222"/>
      <c r="N212" s="223">
        <f>+O212</f>
        <v>45100</v>
      </c>
      <c r="O212" s="218">
        <v>45100</v>
      </c>
      <c r="P212" s="224">
        <f>+L212-N212</f>
        <v>-15</v>
      </c>
      <c r="Q212" s="224">
        <f>+N212-O212</f>
        <v>0</v>
      </c>
      <c r="R212" s="224">
        <f>+L212-O212</f>
        <v>-15</v>
      </c>
      <c r="S212" s="224">
        <f>+R212-30</f>
        <v>-45</v>
      </c>
      <c r="T212" s="225"/>
      <c r="U212" s="225"/>
    </row>
    <row r="213" spans="1:21" s="221" customFormat="1" ht="12.75" x14ac:dyDescent="0.2">
      <c r="A213" s="217" t="s">
        <v>501</v>
      </c>
      <c r="B213" s="218">
        <v>45085</v>
      </c>
      <c r="C213" s="217" t="s">
        <v>502</v>
      </c>
      <c r="D213" s="219">
        <v>17.829999999999998</v>
      </c>
      <c r="E213" s="220">
        <v>22</v>
      </c>
      <c r="L213" s="218">
        <v>45085</v>
      </c>
      <c r="M213" s="222"/>
      <c r="N213" s="223">
        <f>+O213</f>
        <v>45100</v>
      </c>
      <c r="O213" s="218">
        <v>45100</v>
      </c>
      <c r="P213" s="224">
        <f>+L213-N213</f>
        <v>-15</v>
      </c>
      <c r="Q213" s="224">
        <f>+N213-O213</f>
        <v>0</v>
      </c>
      <c r="R213" s="224">
        <f>+L213-O213</f>
        <v>-15</v>
      </c>
      <c r="S213" s="224">
        <f>+R213-30</f>
        <v>-45</v>
      </c>
      <c r="T213" s="225"/>
      <c r="U213" s="225"/>
    </row>
    <row r="214" spans="1:21" s="221" customFormat="1" ht="12.75" x14ac:dyDescent="0.2">
      <c r="A214" s="217" t="s">
        <v>503</v>
      </c>
      <c r="B214" s="218">
        <v>45071</v>
      </c>
      <c r="C214" s="217" t="s">
        <v>504</v>
      </c>
      <c r="D214" s="219">
        <v>113.89</v>
      </c>
      <c r="E214" s="220">
        <v>22</v>
      </c>
      <c r="L214" s="218">
        <v>45071</v>
      </c>
      <c r="M214" s="222"/>
      <c r="N214" s="223">
        <f>+O214</f>
        <v>45101</v>
      </c>
      <c r="O214" s="218">
        <v>45101</v>
      </c>
      <c r="P214" s="224">
        <f>+L214-N214</f>
        <v>-30</v>
      </c>
      <c r="Q214" s="224">
        <f>+N214-O214</f>
        <v>0</v>
      </c>
      <c r="R214" s="224">
        <f>+L214-O214</f>
        <v>-30</v>
      </c>
      <c r="S214" s="224">
        <f>+R214-30</f>
        <v>-60</v>
      </c>
      <c r="T214" s="225"/>
      <c r="U214" s="225"/>
    </row>
    <row r="215" spans="1:21" s="221" customFormat="1" ht="12.75" x14ac:dyDescent="0.2">
      <c r="A215" s="217" t="s">
        <v>505</v>
      </c>
      <c r="B215" s="218">
        <v>45090</v>
      </c>
      <c r="C215" s="217" t="s">
        <v>506</v>
      </c>
      <c r="D215" s="226">
        <v>171.88</v>
      </c>
      <c r="E215" s="220">
        <v>22</v>
      </c>
      <c r="L215" s="218">
        <v>45090</v>
      </c>
      <c r="M215" s="222"/>
      <c r="N215" s="223">
        <f>+O215</f>
        <v>45105</v>
      </c>
      <c r="O215" s="218">
        <v>45105</v>
      </c>
      <c r="P215" s="224">
        <f>+L215-N215</f>
        <v>-15</v>
      </c>
      <c r="Q215" s="224">
        <f>+N215-O215</f>
        <v>0</v>
      </c>
      <c r="R215" s="224">
        <f>+L215-O215</f>
        <v>-15</v>
      </c>
      <c r="S215" s="224">
        <f>+R215-30</f>
        <v>-45</v>
      </c>
      <c r="T215" s="225"/>
      <c r="U215" s="225"/>
    </row>
    <row r="216" spans="1:21" x14ac:dyDescent="0.2">
      <c r="D216" s="8">
        <f>SUM(D7:D215)</f>
        <v>1156475.8999999997</v>
      </c>
      <c r="K216" s="2"/>
      <c r="O216" s="15"/>
      <c r="S216" s="10"/>
    </row>
    <row r="217" spans="1:21" x14ac:dyDescent="0.2">
      <c r="K217" s="2"/>
      <c r="O217" s="15"/>
      <c r="S217" s="10"/>
    </row>
    <row r="218" spans="1:21" x14ac:dyDescent="0.2">
      <c r="F218" s="2" t="s">
        <v>507</v>
      </c>
      <c r="K218" s="2"/>
      <c r="O218" s="15"/>
      <c r="S218" s="10"/>
    </row>
    <row r="219" spans="1:21" x14ac:dyDescent="0.2">
      <c r="D219" s="8">
        <f>SUM(D7:D24)</f>
        <v>19854.129999999994</v>
      </c>
      <c r="E219" s="2">
        <v>20</v>
      </c>
      <c r="F219" s="2">
        <v>18</v>
      </c>
      <c r="K219" s="2"/>
      <c r="O219" s="15"/>
      <c r="S219" s="10"/>
    </row>
    <row r="220" spans="1:21" x14ac:dyDescent="0.2">
      <c r="D220" s="8">
        <f>SUM(D173:D192)</f>
        <v>6872.0499999999984</v>
      </c>
      <c r="E220" s="2">
        <v>21</v>
      </c>
      <c r="F220" s="2">
        <v>20</v>
      </c>
      <c r="K220" s="2"/>
      <c r="O220" s="15"/>
      <c r="S220" s="10"/>
    </row>
    <row r="221" spans="1:21" x14ac:dyDescent="0.2">
      <c r="D221" s="8">
        <f>SUM(D193:D215)</f>
        <v>28587.179999999997</v>
      </c>
      <c r="E221" s="2">
        <v>22</v>
      </c>
      <c r="F221" s="2">
        <v>23</v>
      </c>
      <c r="K221" s="2"/>
      <c r="O221" s="15"/>
      <c r="S221" s="10"/>
    </row>
    <row r="222" spans="1:21" x14ac:dyDescent="0.2">
      <c r="D222" s="8">
        <f>SUM(D152:D172)</f>
        <v>1011415.36</v>
      </c>
      <c r="E222" s="2">
        <v>29</v>
      </c>
      <c r="F222" s="2">
        <v>127</v>
      </c>
      <c r="K222" s="2"/>
      <c r="O222" s="15"/>
      <c r="S222" s="10"/>
    </row>
    <row r="223" spans="1:21" x14ac:dyDescent="0.2">
      <c r="D223" s="227">
        <f>SUM(D25:D151)</f>
        <v>89747.179999999964</v>
      </c>
      <c r="E223" s="2">
        <v>69</v>
      </c>
      <c r="F223" s="228">
        <v>21</v>
      </c>
      <c r="K223" s="2"/>
      <c r="O223" s="15"/>
      <c r="S223" s="10"/>
    </row>
    <row r="224" spans="1:21" x14ac:dyDescent="0.2">
      <c r="D224" s="8">
        <f>SUM(D219:D223)</f>
        <v>1156475.8999999999</v>
      </c>
      <c r="F224" s="2">
        <f>SUM(F219:F223)</f>
        <v>209</v>
      </c>
      <c r="K224" s="2"/>
      <c r="O224" s="15"/>
      <c r="S224" s="10"/>
    </row>
  </sheetData>
  <sheetProtection selectLockedCells="1" selectUnlockedCells="1"/>
  <mergeCells count="1">
    <mergeCell ref="M2:N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19"/>
  <sheetViews>
    <sheetView zoomScale="85" zoomScaleNormal="85" workbookViewId="0">
      <pane ySplit="7" topLeftCell="A8" activePane="bottomLeft" state="frozen"/>
      <selection pane="bottomLeft" activeCell="A8" sqref="A8:XFD20"/>
    </sheetView>
  </sheetViews>
  <sheetFormatPr defaultRowHeight="11.25" x14ac:dyDescent="0.2"/>
  <cols>
    <col min="1" max="1" width="13.14062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5.42578125" style="15" bestFit="1" customWidth="1"/>
    <col min="12" max="12" width="9.28515625" style="15" bestFit="1" customWidth="1"/>
    <col min="13" max="13" width="27.140625" style="15" customWidth="1"/>
    <col min="14" max="14" width="10.7109375" style="15" bestFit="1" customWidth="1"/>
    <col min="15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H1" s="4"/>
      <c r="I1" s="4"/>
      <c r="J1" s="4"/>
      <c r="P1" s="10" t="s">
        <v>89</v>
      </c>
      <c r="Q1" s="104">
        <v>45107</v>
      </c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1" t="s">
        <v>80</v>
      </c>
      <c r="P7" s="12" t="s">
        <v>87</v>
      </c>
      <c r="Q7" s="13" t="s">
        <v>88</v>
      </c>
      <c r="R7" s="14" t="s">
        <v>56</v>
      </c>
      <c r="S7" s="2" t="s">
        <v>83</v>
      </c>
      <c r="T7" s="8" t="s">
        <v>84</v>
      </c>
      <c r="U7" s="8" t="s">
        <v>85</v>
      </c>
      <c r="V7" s="2" t="s">
        <v>86</v>
      </c>
    </row>
    <row r="8" spans="1:22" ht="12.75" x14ac:dyDescent="0.2">
      <c r="A8" s="111" t="s">
        <v>508</v>
      </c>
      <c r="B8" s="112">
        <v>45077</v>
      </c>
      <c r="C8" s="111" t="s">
        <v>509</v>
      </c>
      <c r="D8" s="114">
        <v>899.03</v>
      </c>
      <c r="E8">
        <v>69</v>
      </c>
      <c r="K8" s="2"/>
      <c r="L8" s="112">
        <v>45077</v>
      </c>
      <c r="N8" s="229">
        <f>+O8</f>
        <v>45108</v>
      </c>
      <c r="O8" s="112">
        <v>45108</v>
      </c>
      <c r="S8" s="10">
        <f>+R8-30</f>
        <v>-30</v>
      </c>
    </row>
    <row r="9" spans="1:22" ht="12.75" x14ac:dyDescent="0.2">
      <c r="A9" s="111" t="s">
        <v>510</v>
      </c>
      <c r="B9" s="112">
        <v>45094</v>
      </c>
      <c r="C9" s="111" t="s">
        <v>511</v>
      </c>
      <c r="D9" s="114">
        <v>31.47</v>
      </c>
      <c r="E9">
        <v>69</v>
      </c>
      <c r="K9" s="2"/>
      <c r="L9" s="112">
        <v>45094</v>
      </c>
      <c r="N9" s="229">
        <f>+O9</f>
        <v>45108</v>
      </c>
      <c r="O9" s="112">
        <v>45108</v>
      </c>
      <c r="S9" s="10">
        <f>+R9-30</f>
        <v>-30</v>
      </c>
    </row>
    <row r="10" spans="1:22" ht="12.75" x14ac:dyDescent="0.2">
      <c r="A10" s="111" t="s">
        <v>512</v>
      </c>
      <c r="B10" s="112">
        <v>45086</v>
      </c>
      <c r="C10" s="111" t="s">
        <v>513</v>
      </c>
      <c r="D10" s="114">
        <v>177.42</v>
      </c>
      <c r="E10">
        <v>22</v>
      </c>
      <c r="K10" s="2"/>
      <c r="L10" s="112">
        <v>45086</v>
      </c>
      <c r="N10" s="229">
        <f>+O10</f>
        <v>45116</v>
      </c>
      <c r="O10" s="112">
        <v>45116</v>
      </c>
      <c r="S10" s="10">
        <f>+R10-30</f>
        <v>-30</v>
      </c>
    </row>
    <row r="11" spans="1:22" ht="12.75" x14ac:dyDescent="0.2">
      <c r="A11" s="111" t="s">
        <v>514</v>
      </c>
      <c r="B11" s="112">
        <v>45093</v>
      </c>
      <c r="C11" s="111" t="s">
        <v>515</v>
      </c>
      <c r="D11" s="230">
        <v>757</v>
      </c>
      <c r="E11">
        <v>21</v>
      </c>
      <c r="K11" s="2"/>
      <c r="L11" s="112">
        <v>45093</v>
      </c>
      <c r="N11" s="229">
        <f>+O11</f>
        <v>45123</v>
      </c>
      <c r="O11" s="112">
        <v>45123</v>
      </c>
      <c r="S11" s="10">
        <f>+R11-30</f>
        <v>-30</v>
      </c>
    </row>
    <row r="12" spans="1:22" x14ac:dyDescent="0.2">
      <c r="D12" s="8">
        <f>SUM(D8:D11)</f>
        <v>1864.92</v>
      </c>
    </row>
    <row r="15" spans="1:22" x14ac:dyDescent="0.2">
      <c r="F15" s="2" t="s">
        <v>507</v>
      </c>
    </row>
    <row r="16" spans="1:22" x14ac:dyDescent="0.2">
      <c r="D16" s="8">
        <f>+D8+D9</f>
        <v>930.5</v>
      </c>
      <c r="E16" s="2">
        <v>69</v>
      </c>
      <c r="F16" s="2">
        <v>2</v>
      </c>
    </row>
    <row r="17" spans="4:6" x14ac:dyDescent="0.2">
      <c r="D17" s="8">
        <f>+D11</f>
        <v>757</v>
      </c>
      <c r="E17" s="2">
        <v>21</v>
      </c>
      <c r="F17" s="2">
        <v>1</v>
      </c>
    </row>
    <row r="18" spans="4:6" x14ac:dyDescent="0.2">
      <c r="D18" s="227">
        <f>+D10</f>
        <v>177.42</v>
      </c>
      <c r="E18" s="2">
        <v>22</v>
      </c>
      <c r="F18" s="228">
        <v>1</v>
      </c>
    </row>
    <row r="19" spans="4:6" x14ac:dyDescent="0.2">
      <c r="D19" s="8">
        <f>SUM(D16:D18)</f>
        <v>1864.92</v>
      </c>
      <c r="F19" s="2">
        <f>SUM(F16:F18)</f>
        <v>4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V56"/>
  <sheetViews>
    <sheetView zoomScaleNormal="100" workbookViewId="0">
      <pane ySplit="7" topLeftCell="A8" activePane="bottomLeft" state="frozen"/>
      <selection pane="bottomLeft" activeCell="A8" sqref="A8:XFD225"/>
    </sheetView>
  </sheetViews>
  <sheetFormatPr defaultRowHeight="11.25" x14ac:dyDescent="0.2"/>
  <cols>
    <col min="1" max="1" width="16.710937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.140625" style="15"/>
    <col min="13" max="14" width="10.14062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K1" s="2"/>
      <c r="O1" s="10" t="s">
        <v>89</v>
      </c>
      <c r="P1" s="104">
        <v>45107</v>
      </c>
    </row>
    <row r="2" spans="1:22" x14ac:dyDescent="0.2">
      <c r="A2" s="3"/>
      <c r="B2" s="17"/>
      <c r="C2" s="4"/>
      <c r="D2" s="7"/>
      <c r="E2" s="4"/>
      <c r="F2" s="4"/>
      <c r="G2" s="4"/>
      <c r="I2" s="4"/>
      <c r="J2" s="4"/>
      <c r="K2" s="4"/>
      <c r="O2" s="15"/>
    </row>
    <row r="3" spans="1:22" x14ac:dyDescent="0.2">
      <c r="A3" s="3"/>
      <c r="B3" s="17"/>
      <c r="C3" s="4"/>
      <c r="D3" s="7"/>
      <c r="E3" s="4"/>
      <c r="F3" s="4"/>
      <c r="G3" s="4"/>
      <c r="K3" s="2"/>
      <c r="O3" s="15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P4" s="15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P5" s="15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2" t="s">
        <v>88</v>
      </c>
      <c r="P7" s="14" t="s">
        <v>56</v>
      </c>
      <c r="Q7" s="2" t="s">
        <v>10</v>
      </c>
      <c r="R7" s="8" t="s">
        <v>84</v>
      </c>
      <c r="S7" s="8" t="s">
        <v>85</v>
      </c>
      <c r="T7" s="2" t="s">
        <v>86</v>
      </c>
    </row>
    <row r="8" spans="1:22" customFormat="1" ht="12.75" x14ac:dyDescent="0.2">
      <c r="A8" s="111"/>
      <c r="B8" s="112"/>
      <c r="C8" s="111"/>
      <c r="D8" s="114"/>
      <c r="K8" s="112"/>
      <c r="L8" s="113"/>
      <c r="M8" s="113"/>
      <c r="N8" s="112"/>
      <c r="O8" s="115"/>
      <c r="P8" s="115"/>
      <c r="Q8" s="115"/>
      <c r="R8" s="115"/>
      <c r="T8" s="114"/>
      <c r="U8" s="114"/>
      <c r="V8" s="103"/>
    </row>
    <row r="9" spans="1:22" ht="12.75" x14ac:dyDescent="0.2">
      <c r="A9" s="111"/>
      <c r="B9" s="112"/>
      <c r="C9" s="111"/>
      <c r="D9"/>
      <c r="K9" s="112"/>
      <c r="N9" s="112"/>
      <c r="Q9" s="10"/>
      <c r="R9" s="10"/>
      <c r="S9"/>
      <c r="T9" s="8"/>
      <c r="U9" s="8"/>
      <c r="V9" s="103"/>
    </row>
    <row r="10" spans="1:22" ht="12.75" x14ac:dyDescent="0.2">
      <c r="A10" s="111"/>
      <c r="B10" s="112"/>
      <c r="C10" s="111"/>
      <c r="D10"/>
      <c r="K10" s="112"/>
      <c r="N10" s="112"/>
      <c r="Q10" s="10"/>
      <c r="R10" s="10"/>
      <c r="S10"/>
      <c r="T10" s="8"/>
      <c r="U10" s="8"/>
      <c r="V10" s="103"/>
    </row>
    <row r="11" spans="1:22" ht="12.75" x14ac:dyDescent="0.2">
      <c r="A11" s="111"/>
      <c r="B11" s="112"/>
      <c r="C11" s="111"/>
      <c r="D11"/>
      <c r="K11" s="112"/>
      <c r="N11" s="112"/>
      <c r="Q11" s="10"/>
      <c r="R11" s="10"/>
      <c r="S11"/>
      <c r="T11" s="8"/>
      <c r="U11" s="8"/>
      <c r="V11" s="103"/>
    </row>
    <row r="12" spans="1:22" ht="12.75" x14ac:dyDescent="0.2">
      <c r="A12" s="111"/>
      <c r="B12" s="112"/>
      <c r="C12" s="111"/>
      <c r="D12"/>
      <c r="K12" s="112"/>
      <c r="N12" s="112"/>
      <c r="Q12" s="10"/>
      <c r="R12" s="10"/>
      <c r="S12"/>
      <c r="T12" s="8"/>
      <c r="U12" s="8"/>
      <c r="V12" s="103"/>
    </row>
    <row r="13" spans="1:22" ht="12.75" x14ac:dyDescent="0.2">
      <c r="A13" s="111"/>
      <c r="B13" s="112"/>
      <c r="C13" s="111"/>
      <c r="D13"/>
      <c r="K13" s="112"/>
      <c r="N13" s="112"/>
      <c r="Q13" s="10"/>
      <c r="R13" s="10"/>
      <c r="S13"/>
      <c r="T13" s="8"/>
      <c r="U13" s="8"/>
      <c r="V13" s="103"/>
    </row>
    <row r="14" spans="1:22" ht="12.75" x14ac:dyDescent="0.2">
      <c r="A14" s="111"/>
      <c r="B14" s="112"/>
      <c r="C14" s="111"/>
      <c r="D14"/>
      <c r="K14" s="112"/>
      <c r="N14" s="112"/>
      <c r="Q14" s="10"/>
      <c r="R14" s="10"/>
      <c r="S14" s="2"/>
      <c r="T14" s="8"/>
      <c r="U14" s="8"/>
      <c r="V14" s="103"/>
    </row>
    <row r="15" spans="1:22" ht="12.75" x14ac:dyDescent="0.2">
      <c r="A15" s="111"/>
      <c r="B15" s="112"/>
      <c r="C15" s="111"/>
      <c r="D15"/>
      <c r="K15" s="112"/>
      <c r="N15" s="112"/>
      <c r="Q15" s="10"/>
      <c r="R15" s="10"/>
      <c r="S15" s="2"/>
      <c r="T15" s="8"/>
      <c r="U15" s="8"/>
      <c r="V15" s="103"/>
    </row>
    <row r="16" spans="1:22" ht="12.75" x14ac:dyDescent="0.2">
      <c r="A16" s="111"/>
      <c r="B16" s="112"/>
      <c r="C16" s="111"/>
      <c r="D16"/>
      <c r="K16" s="112"/>
      <c r="N16" s="112"/>
      <c r="Q16" s="10"/>
      <c r="R16" s="10"/>
      <c r="S16" s="2"/>
      <c r="T16" s="8"/>
      <c r="U16" s="8"/>
      <c r="V16" s="103"/>
    </row>
    <row r="17" spans="1:22" ht="12.75" x14ac:dyDescent="0.2">
      <c r="A17" s="111"/>
      <c r="B17" s="112"/>
      <c r="C17" s="111"/>
      <c r="D17"/>
      <c r="K17" s="112"/>
      <c r="N17" s="112"/>
      <c r="Q17" s="10"/>
      <c r="R17" s="10"/>
      <c r="S17" s="2"/>
      <c r="T17" s="8"/>
      <c r="U17" s="8"/>
      <c r="V17" s="103"/>
    </row>
    <row r="18" spans="1:22" ht="12.75" x14ac:dyDescent="0.2">
      <c r="A18" s="111"/>
      <c r="B18" s="112"/>
      <c r="C18" s="111"/>
      <c r="D18"/>
      <c r="K18" s="112"/>
      <c r="N18" s="112"/>
      <c r="Q18" s="10"/>
      <c r="R18" s="10"/>
      <c r="S18" s="2"/>
      <c r="T18" s="8"/>
      <c r="U18" s="8"/>
      <c r="V18" s="103"/>
    </row>
    <row r="19" spans="1:22" ht="12.75" x14ac:dyDescent="0.2">
      <c r="A19" s="111"/>
      <c r="B19" s="112"/>
      <c r="C19" s="111"/>
      <c r="D19"/>
      <c r="K19" s="112"/>
      <c r="N19" s="112"/>
      <c r="Q19" s="10"/>
      <c r="R19" s="10"/>
      <c r="S19" s="2"/>
      <c r="T19" s="8"/>
      <c r="U19" s="8"/>
      <c r="V19" s="103"/>
    </row>
    <row r="20" spans="1:22" ht="12.75" x14ac:dyDescent="0.2">
      <c r="A20" s="111"/>
      <c r="B20" s="112"/>
      <c r="C20" s="111"/>
      <c r="D20"/>
      <c r="K20" s="112"/>
      <c r="N20" s="112"/>
      <c r="Q20" s="10"/>
      <c r="R20" s="10"/>
      <c r="S20" s="2"/>
      <c r="T20" s="8"/>
      <c r="U20" s="8"/>
      <c r="V20" s="103"/>
    </row>
    <row r="21" spans="1:22" ht="12.75" x14ac:dyDescent="0.2">
      <c r="A21" s="111"/>
      <c r="B21" s="112"/>
      <c r="C21" s="111"/>
      <c r="D21"/>
      <c r="K21" s="112"/>
      <c r="N21" s="112"/>
      <c r="Q21" s="10"/>
      <c r="R21" s="10"/>
      <c r="S21" s="2"/>
      <c r="T21" s="8"/>
      <c r="U21" s="8"/>
      <c r="V21" s="103"/>
    </row>
    <row r="22" spans="1:22" ht="12.75" x14ac:dyDescent="0.2">
      <c r="A22" s="111"/>
      <c r="B22" s="112"/>
      <c r="C22" s="111"/>
      <c r="D22"/>
      <c r="K22" s="112"/>
      <c r="N22" s="112"/>
      <c r="Q22" s="10"/>
      <c r="R22" s="10"/>
      <c r="S22" s="2"/>
      <c r="T22" s="8"/>
      <c r="U22" s="8"/>
      <c r="V22" s="103"/>
    </row>
    <row r="23" spans="1:22" ht="12.75" x14ac:dyDescent="0.2">
      <c r="A23" s="111"/>
      <c r="B23" s="112"/>
      <c r="C23" s="111"/>
      <c r="D23"/>
      <c r="K23" s="112"/>
      <c r="N23" s="112"/>
      <c r="Q23" s="10"/>
      <c r="R23" s="10"/>
      <c r="S23" s="2"/>
      <c r="T23" s="8"/>
      <c r="U23" s="8"/>
      <c r="V23" s="103"/>
    </row>
    <row r="24" spans="1:22" ht="12.75" x14ac:dyDescent="0.2">
      <c r="A24" s="111"/>
      <c r="B24" s="112"/>
      <c r="C24" s="111"/>
      <c r="D24"/>
      <c r="K24" s="112"/>
      <c r="N24" s="112"/>
      <c r="Q24" s="10"/>
      <c r="R24" s="10"/>
      <c r="S24" s="2"/>
      <c r="T24" s="8"/>
      <c r="U24" s="8"/>
      <c r="V24" s="103"/>
    </row>
    <row r="25" spans="1:22" ht="12.75" x14ac:dyDescent="0.2">
      <c r="A25" s="111"/>
      <c r="B25" s="112"/>
      <c r="C25" s="111"/>
      <c r="D25"/>
      <c r="K25" s="112"/>
      <c r="N25" s="112"/>
      <c r="Q25" s="10"/>
      <c r="R25" s="10"/>
      <c r="S25" s="2"/>
      <c r="T25" s="8"/>
      <c r="U25" s="8"/>
      <c r="V25" s="103"/>
    </row>
    <row r="26" spans="1:22" ht="12.75" x14ac:dyDescent="0.2">
      <c r="A26" s="111"/>
      <c r="B26" s="112"/>
      <c r="C26" s="111"/>
      <c r="D26"/>
      <c r="K26" s="112"/>
      <c r="N26" s="112"/>
      <c r="Q26" s="10"/>
      <c r="R26" s="10"/>
      <c r="S26" s="2"/>
      <c r="T26" s="8"/>
      <c r="U26" s="8"/>
      <c r="V26" s="103"/>
    </row>
    <row r="27" spans="1:22" ht="12.75" x14ac:dyDescent="0.2">
      <c r="A27" s="111"/>
      <c r="B27" s="112"/>
      <c r="C27" s="111"/>
      <c r="D27"/>
      <c r="K27" s="112"/>
      <c r="N27" s="112"/>
      <c r="Q27" s="10"/>
      <c r="R27" s="10"/>
      <c r="S27" s="2"/>
      <c r="T27" s="8"/>
      <c r="U27" s="8"/>
      <c r="V27" s="103"/>
    </row>
    <row r="28" spans="1:22" ht="12.75" x14ac:dyDescent="0.2">
      <c r="A28" s="111"/>
      <c r="B28" s="112"/>
      <c r="C28" s="111"/>
      <c r="D28"/>
      <c r="K28" s="112"/>
      <c r="N28" s="112"/>
      <c r="Q28" s="10"/>
      <c r="R28" s="10"/>
      <c r="S28" s="2"/>
      <c r="T28" s="8"/>
      <c r="U28" s="8"/>
      <c r="V28" s="103"/>
    </row>
    <row r="29" spans="1:22" ht="12.75" x14ac:dyDescent="0.2">
      <c r="A29" s="111"/>
      <c r="B29" s="112"/>
      <c r="C29" s="111"/>
      <c r="D29"/>
      <c r="K29" s="112"/>
      <c r="N29" s="112"/>
      <c r="Q29" s="10"/>
      <c r="R29" s="10"/>
      <c r="S29" s="2"/>
      <c r="T29" s="8"/>
      <c r="U29" s="8"/>
      <c r="V29" s="103"/>
    </row>
    <row r="30" spans="1:22" ht="12.75" x14ac:dyDescent="0.2">
      <c r="A30" s="111"/>
      <c r="B30" s="112"/>
      <c r="C30" s="111"/>
      <c r="D30"/>
      <c r="K30" s="112"/>
      <c r="N30" s="112"/>
      <c r="Q30" s="10"/>
      <c r="R30" s="10"/>
      <c r="S30" s="2"/>
      <c r="T30" s="8"/>
      <c r="U30" s="8"/>
      <c r="V30" s="103"/>
    </row>
    <row r="31" spans="1:22" ht="12.75" x14ac:dyDescent="0.2">
      <c r="A31" s="111"/>
      <c r="B31" s="112"/>
      <c r="C31" s="111"/>
      <c r="D31"/>
      <c r="K31" s="112"/>
      <c r="N31" s="112"/>
      <c r="Q31" s="10"/>
      <c r="R31" s="10"/>
      <c r="S31" s="2"/>
      <c r="T31" s="8"/>
      <c r="U31" s="8"/>
      <c r="V31" s="103"/>
    </row>
    <row r="32" spans="1:22" ht="12.75" x14ac:dyDescent="0.2">
      <c r="A32" s="111"/>
      <c r="B32" s="112"/>
      <c r="C32" s="111"/>
      <c r="D32"/>
      <c r="K32" s="112"/>
      <c r="N32" s="112"/>
      <c r="Q32" s="10"/>
      <c r="R32" s="10"/>
      <c r="S32" s="2"/>
      <c r="T32" s="8"/>
      <c r="U32" s="8"/>
      <c r="V32" s="103"/>
    </row>
    <row r="33" spans="1:22" ht="12.75" x14ac:dyDescent="0.2">
      <c r="A33" s="111"/>
      <c r="B33" s="112"/>
      <c r="C33" s="111"/>
      <c r="D33"/>
      <c r="K33" s="112"/>
      <c r="N33" s="112"/>
      <c r="Q33" s="10"/>
      <c r="R33" s="10"/>
      <c r="S33" s="2"/>
      <c r="T33" s="8"/>
      <c r="U33" s="8"/>
      <c r="V33" s="103"/>
    </row>
    <row r="34" spans="1:22" ht="12.75" x14ac:dyDescent="0.2">
      <c r="A34" s="111"/>
      <c r="B34" s="112"/>
      <c r="C34" s="111"/>
      <c r="D34"/>
      <c r="K34" s="112"/>
      <c r="N34" s="112"/>
      <c r="Q34" s="10"/>
      <c r="R34" s="10"/>
      <c r="S34" s="2"/>
      <c r="T34" s="8"/>
      <c r="U34" s="8"/>
      <c r="V34" s="103"/>
    </row>
    <row r="35" spans="1:22" ht="12.75" x14ac:dyDescent="0.2">
      <c r="A35" s="111"/>
      <c r="B35" s="112"/>
      <c r="C35" s="111"/>
      <c r="D35"/>
      <c r="K35" s="112"/>
      <c r="N35" s="112"/>
      <c r="Q35" s="10"/>
      <c r="R35" s="10"/>
      <c r="S35" s="2"/>
      <c r="T35" s="8"/>
      <c r="U35" s="8"/>
      <c r="V35" s="103"/>
    </row>
    <row r="36" spans="1:22" ht="15" x14ac:dyDescent="0.25">
      <c r="A36" s="111"/>
      <c r="B36" s="112"/>
      <c r="C36" s="111"/>
      <c r="D36"/>
      <c r="K36" s="112"/>
      <c r="M36" s="108"/>
      <c r="N36" s="112"/>
      <c r="Q36" s="10"/>
      <c r="R36" s="10"/>
      <c r="S36" s="2"/>
      <c r="T36" s="8"/>
      <c r="U36" s="8"/>
      <c r="V36" s="103"/>
    </row>
    <row r="37" spans="1:22" ht="15" x14ac:dyDescent="0.25">
      <c r="A37" s="111"/>
      <c r="B37" s="112"/>
      <c r="C37" s="111"/>
      <c r="D37"/>
      <c r="K37" s="112"/>
      <c r="M37" s="108"/>
      <c r="N37" s="112"/>
      <c r="Q37" s="10"/>
      <c r="R37" s="10"/>
      <c r="S37" s="2"/>
      <c r="T37" s="8"/>
      <c r="U37" s="8"/>
      <c r="V37" s="103"/>
    </row>
    <row r="38" spans="1:22" ht="15" x14ac:dyDescent="0.25">
      <c r="A38" s="111"/>
      <c r="B38" s="112"/>
      <c r="C38" s="111"/>
      <c r="D38"/>
      <c r="K38" s="112"/>
      <c r="M38" s="108"/>
      <c r="N38" s="112"/>
      <c r="Q38" s="10"/>
      <c r="R38" s="10"/>
      <c r="S38" s="2"/>
      <c r="T38" s="8"/>
      <c r="U38" s="8"/>
      <c r="V38" s="103"/>
    </row>
    <row r="39" spans="1:22" ht="15" x14ac:dyDescent="0.25">
      <c r="A39" s="111"/>
      <c r="B39" s="112"/>
      <c r="C39" s="111"/>
      <c r="D39"/>
      <c r="K39" s="112"/>
      <c r="M39" s="108"/>
      <c r="N39" s="112"/>
      <c r="Q39" s="10"/>
      <c r="R39" s="10"/>
      <c r="S39" s="2"/>
      <c r="T39" s="8"/>
      <c r="U39" s="8"/>
      <c r="V39" s="103"/>
    </row>
    <row r="40" spans="1:22" ht="15" x14ac:dyDescent="0.25">
      <c r="A40" s="111"/>
      <c r="B40" s="112"/>
      <c r="C40" s="111"/>
      <c r="D40"/>
      <c r="K40" s="112"/>
      <c r="M40" s="108"/>
      <c r="N40" s="112"/>
      <c r="Q40" s="10"/>
      <c r="R40" s="10"/>
      <c r="S40" s="2"/>
      <c r="T40" s="8"/>
      <c r="U40" s="8"/>
      <c r="V40" s="103"/>
    </row>
    <row r="41" spans="1:22" x14ac:dyDescent="0.2">
      <c r="Q41" s="10"/>
      <c r="R41" s="10"/>
      <c r="S41" s="2"/>
      <c r="T41" s="8"/>
      <c r="U41" s="8"/>
    </row>
    <row r="42" spans="1:22" x14ac:dyDescent="0.2">
      <c r="Q42" s="10"/>
      <c r="R42" s="10"/>
      <c r="S42" s="2"/>
      <c r="T42" s="8"/>
      <c r="U42" s="8"/>
    </row>
    <row r="43" spans="1:22" ht="15" x14ac:dyDescent="0.25">
      <c r="A43" s="105"/>
      <c r="B43" s="106"/>
      <c r="C43" s="105"/>
      <c r="D43" s="110"/>
      <c r="F43" s="105"/>
      <c r="K43" s="106"/>
      <c r="M43" s="108"/>
      <c r="N43" s="108"/>
      <c r="Q43" s="10"/>
      <c r="R43" s="10"/>
      <c r="S43" s="2"/>
      <c r="T43" s="8"/>
    </row>
    <row r="44" spans="1:22" ht="15" x14ac:dyDescent="0.25">
      <c r="A44" s="105"/>
      <c r="B44" s="106"/>
      <c r="C44" s="105"/>
      <c r="D44" s="110"/>
      <c r="F44" s="105"/>
      <c r="K44" s="106"/>
      <c r="M44" s="108"/>
      <c r="N44" s="108"/>
      <c r="Q44" s="10"/>
      <c r="R44" s="10"/>
      <c r="S44" s="2"/>
      <c r="T44" s="8"/>
      <c r="U44" s="8"/>
    </row>
    <row r="45" spans="1:22" ht="15" x14ac:dyDescent="0.25">
      <c r="A45" s="105"/>
      <c r="B45" s="106"/>
      <c r="C45" s="105"/>
      <c r="D45" s="110"/>
      <c r="F45" s="105"/>
      <c r="K45" s="106"/>
      <c r="M45" s="108"/>
      <c r="N45" s="108"/>
      <c r="Q45" s="10"/>
      <c r="R45" s="10"/>
      <c r="S45" s="2"/>
      <c r="T45" s="8"/>
      <c r="U45" s="8"/>
    </row>
    <row r="46" spans="1:22" ht="15" x14ac:dyDescent="0.25">
      <c r="A46" s="105"/>
      <c r="B46" s="106"/>
      <c r="C46" s="105"/>
      <c r="D46" s="110"/>
      <c r="F46" s="105"/>
      <c r="K46" s="106"/>
      <c r="M46" s="108"/>
      <c r="N46" s="106"/>
      <c r="Q46" s="10"/>
      <c r="R46" s="10"/>
      <c r="S46" s="2"/>
      <c r="T46" s="8"/>
      <c r="U46" s="8"/>
    </row>
    <row r="47" spans="1:22" ht="15" x14ac:dyDescent="0.25">
      <c r="A47" s="105"/>
      <c r="B47" s="106"/>
      <c r="C47" s="105"/>
      <c r="D47" s="107"/>
      <c r="F47" s="105"/>
      <c r="K47" s="106"/>
      <c r="M47" s="108"/>
      <c r="N47" s="106"/>
      <c r="Q47" s="10"/>
      <c r="R47" s="10"/>
      <c r="S47" s="2"/>
      <c r="T47" s="8"/>
      <c r="U47" s="8"/>
    </row>
    <row r="48" spans="1:22" ht="15" x14ac:dyDescent="0.25">
      <c r="A48" s="105"/>
      <c r="B48" s="106"/>
      <c r="C48" s="105"/>
      <c r="D48" s="107"/>
      <c r="F48" s="105"/>
      <c r="K48" s="106"/>
      <c r="M48" s="108"/>
      <c r="N48" s="106"/>
      <c r="Q48" s="10"/>
      <c r="R48" s="10"/>
      <c r="S48" s="2"/>
      <c r="T48" s="8"/>
      <c r="U48" s="8"/>
    </row>
    <row r="49" spans="1:21" ht="15" x14ac:dyDescent="0.25">
      <c r="A49" s="105"/>
      <c r="B49" s="106"/>
      <c r="C49" s="105"/>
      <c r="D49" s="107"/>
      <c r="F49" s="105"/>
      <c r="K49" s="106"/>
      <c r="M49" s="108"/>
      <c r="N49" s="106"/>
      <c r="Q49" s="10"/>
      <c r="R49" s="10"/>
      <c r="S49" s="2"/>
      <c r="T49" s="8"/>
      <c r="U49" s="8"/>
    </row>
    <row r="50" spans="1:21" ht="15" x14ac:dyDescent="0.25">
      <c r="A50" s="105"/>
      <c r="B50" s="106"/>
      <c r="C50" s="105"/>
      <c r="D50" s="107"/>
      <c r="F50" s="105"/>
      <c r="K50" s="106"/>
      <c r="M50" s="108"/>
      <c r="N50" s="106"/>
      <c r="Q50" s="10"/>
      <c r="R50" s="10"/>
      <c r="S50" s="2"/>
      <c r="T50" s="8"/>
      <c r="U50" s="8"/>
    </row>
    <row r="51" spans="1:21" ht="15" x14ac:dyDescent="0.25">
      <c r="A51" s="105"/>
      <c r="B51" s="106"/>
      <c r="C51" s="105"/>
      <c r="D51" s="107"/>
      <c r="F51" s="105"/>
      <c r="K51" s="106"/>
      <c r="M51" s="108"/>
      <c r="N51" s="106"/>
      <c r="Q51" s="10"/>
      <c r="R51" s="10"/>
      <c r="S51" s="2"/>
      <c r="T51" s="8"/>
      <c r="U51" s="8"/>
    </row>
    <row r="52" spans="1:21" ht="15" x14ac:dyDescent="0.25">
      <c r="A52" s="105"/>
      <c r="B52" s="106"/>
      <c r="C52" s="105"/>
      <c r="D52" s="107"/>
      <c r="F52" s="105"/>
      <c r="K52" s="106"/>
      <c r="M52" s="108"/>
      <c r="N52" s="106"/>
      <c r="Q52" s="10"/>
      <c r="R52" s="10"/>
      <c r="S52" s="2"/>
      <c r="T52" s="8"/>
      <c r="U52" s="8"/>
    </row>
    <row r="53" spans="1:21" ht="15" x14ac:dyDescent="0.25">
      <c r="A53" s="105"/>
      <c r="B53" s="106"/>
      <c r="C53" s="105"/>
      <c r="D53" s="107"/>
      <c r="F53" s="105"/>
      <c r="K53" s="106"/>
      <c r="M53" s="108"/>
      <c r="N53" s="106"/>
      <c r="Q53" s="10"/>
      <c r="R53" s="10"/>
      <c r="S53" s="2"/>
      <c r="T53" s="8"/>
      <c r="U53" s="8"/>
    </row>
    <row r="54" spans="1:21" ht="15" x14ac:dyDescent="0.25">
      <c r="A54" s="105"/>
      <c r="B54" s="106"/>
      <c r="C54" s="105"/>
      <c r="D54" s="107"/>
      <c r="F54" s="105"/>
      <c r="K54" s="106"/>
      <c r="M54" s="108"/>
      <c r="N54" s="106"/>
      <c r="Q54" s="10"/>
      <c r="R54" s="10"/>
      <c r="S54" s="2"/>
      <c r="T54" s="8"/>
      <c r="U54" s="8"/>
    </row>
    <row r="55" spans="1:21" ht="15" x14ac:dyDescent="0.25">
      <c r="A55" s="105"/>
      <c r="B55" s="106"/>
      <c r="C55" s="105"/>
      <c r="D55" s="107"/>
      <c r="F55" s="105"/>
      <c r="K55" s="106"/>
      <c r="M55" s="108"/>
      <c r="N55" s="106"/>
      <c r="Q55" s="10"/>
      <c r="R55" s="10"/>
      <c r="S55" s="2"/>
      <c r="T55" s="8"/>
      <c r="U55" s="8"/>
    </row>
    <row r="56" spans="1:21" ht="15" x14ac:dyDescent="0.25">
      <c r="A56" s="105"/>
      <c r="B56" s="106"/>
      <c r="C56" s="105"/>
      <c r="D56" s="107"/>
      <c r="F56" s="105"/>
      <c r="K56" s="106"/>
      <c r="M56" s="108"/>
      <c r="N56" s="106"/>
      <c r="Q56" s="10"/>
      <c r="R56" s="10"/>
      <c r="S56" s="2"/>
      <c r="T56" s="8"/>
      <c r="U56" s="8"/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3AA200D7FF4343BAE68149A4FD2589" ma:contentTypeVersion="13" ma:contentTypeDescription="Crear nuevo documento." ma:contentTypeScope="" ma:versionID="ab2689466d08c687bebe30780a4ef38a">
  <xsd:schema xmlns:xsd="http://www.w3.org/2001/XMLSchema" xmlns:xs="http://www.w3.org/2001/XMLSchema" xmlns:p="http://schemas.microsoft.com/office/2006/metadata/properties" xmlns:ns2="185de1a0-6006-4e01-b1b0-4174e4275ed4" xmlns:ns3="ede30374-eb3a-4070-bcb9-d807f7df5720" targetNamespace="http://schemas.microsoft.com/office/2006/metadata/properties" ma:root="true" ma:fieldsID="ed29cc44156d78cde757937d0642e08c" ns2:_="" ns3:_="">
    <xsd:import namespace="185de1a0-6006-4e01-b1b0-4174e4275ed4"/>
    <xsd:import namespace="ede30374-eb3a-4070-bcb9-d807f7df57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de1a0-6006-4e01-b1b0-4174e4275e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0da7361-d357-47e7-8763-847f2a4569a6}" ma:internalName="TaxCatchAll" ma:showField="CatchAllData" ma:web="185de1a0-6006-4e01-b1b0-4174e4275e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30374-eb3a-4070-bcb9-d807f7df5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a7514d57-8e70-43ac-b127-ec32266e7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D273E-36C6-4C86-B231-6E97C4817D53}"/>
</file>

<file path=customXml/itemProps2.xml><?xml version="1.0" encoding="utf-8"?>
<ds:datastoreItem xmlns:ds="http://schemas.openxmlformats.org/officeDocument/2006/customXml" ds:itemID="{E387C0EA-075F-42D9-B072-CB4B52507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INFORME</vt:lpstr>
      <vt:lpstr>detalle1</vt:lpstr>
      <vt:lpstr>detalle2</vt:lpstr>
      <vt:lpstr>detalle32</vt:lpstr>
      <vt:lpstr>detalle1!Inprimatzeko_area</vt:lpstr>
      <vt:lpstr>detalle2!Inprimatzeko_area</vt:lpstr>
      <vt:lpstr>detalle32!Inprimatzeko_area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Ruiz</dc:creator>
  <cp:lastModifiedBy>Natalia Ruiz</cp:lastModifiedBy>
  <cp:lastPrinted>2014-12-11T08:00:00Z</cp:lastPrinted>
  <dcterms:created xsi:type="dcterms:W3CDTF">2013-12-21T08:23:27Z</dcterms:created>
  <dcterms:modified xsi:type="dcterms:W3CDTF">2023-06-27T08:35:04Z</dcterms:modified>
</cp:coreProperties>
</file>