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3\OARSOALDEA\3go HIRUHILEKOA\"/>
    </mc:Choice>
  </mc:AlternateContent>
  <xr:revisionPtr revIDLastSave="0" documentId="13_ncr:1_{773EAC43-41C0-4312-AD03-9E8C527B5E8F}" xr6:coauthVersionLast="47" xr6:coauthVersionMax="47" xr10:uidLastSave="{00000000-0000-0000-0000-000000000000}"/>
  <bookViews>
    <workbookView xWindow="-120" yWindow="-120" windowWidth="19440" windowHeight="11520" tabRatio="566" xr2:uid="{00000000-000D-0000-FFFF-FFFF00000000}"/>
  </bookViews>
  <sheets>
    <sheet name="INFORME" sheetId="5" r:id="rId1"/>
    <sheet name="detalle1" sheetId="2" r:id="rId2"/>
    <sheet name="detalle2" sheetId="3" r:id="rId3"/>
    <sheet name="detalle32" sheetId="4" r:id="rId4"/>
  </sheets>
  <externalReferences>
    <externalReference r:id="rId5"/>
    <externalReference r:id="rId6"/>
  </externalReferences>
  <definedNames>
    <definedName name="_xlnm.Print_Area" localSheetId="1">detalle1!$A$1:$R$6</definedName>
    <definedName name="_xlnm.Print_Area" localSheetId="2">detalle2!$A$1:$R$7</definedName>
    <definedName name="_xlnm.Print_Area" localSheetId="3">detalle32!$A$1:$P$7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5" l="1"/>
  <c r="F53" i="5"/>
  <c r="G51" i="5"/>
  <c r="F51" i="5"/>
  <c r="F48" i="5" s="1"/>
  <c r="G50" i="5"/>
  <c r="F50" i="5"/>
  <c r="F33" i="5"/>
  <c r="G23" i="5"/>
  <c r="F23" i="5"/>
  <c r="G21" i="5"/>
  <c r="F21" i="5"/>
  <c r="G19" i="5"/>
  <c r="F19" i="5"/>
  <c r="G18" i="5"/>
  <c r="F18" i="5"/>
  <c r="G17" i="5"/>
  <c r="F17" i="5"/>
  <c r="F55" i="3"/>
  <c r="D54" i="3"/>
  <c r="D53" i="3"/>
  <c r="D52" i="3"/>
  <c r="D55" i="3" s="1"/>
  <c r="D48" i="3"/>
  <c r="Q47" i="3"/>
  <c r="P47" i="3"/>
  <c r="M47" i="3"/>
  <c r="Q46" i="3"/>
  <c r="M46" i="3"/>
  <c r="P46" i="3" s="1"/>
  <c r="Q45" i="3"/>
  <c r="M45" i="3"/>
  <c r="P45" i="3" s="1"/>
  <c r="Q44" i="3"/>
  <c r="M44" i="3"/>
  <c r="P44" i="3" s="1"/>
  <c r="Q43" i="3"/>
  <c r="P43" i="3"/>
  <c r="M43" i="3"/>
  <c r="Q42" i="3"/>
  <c r="M42" i="3"/>
  <c r="P42" i="3" s="1"/>
  <c r="Q41" i="3"/>
  <c r="M41" i="3"/>
  <c r="P41" i="3" s="1"/>
  <c r="Q40" i="3"/>
  <c r="M40" i="3"/>
  <c r="P40" i="3" s="1"/>
  <c r="Q39" i="3"/>
  <c r="P39" i="3"/>
  <c r="M39" i="3"/>
  <c r="Q38" i="3"/>
  <c r="M38" i="3"/>
  <c r="P38" i="3" s="1"/>
  <c r="Q37" i="3"/>
  <c r="M37" i="3"/>
  <c r="P37" i="3" s="1"/>
  <c r="Q36" i="3"/>
  <c r="M36" i="3"/>
  <c r="P36" i="3" s="1"/>
  <c r="Q35" i="3"/>
  <c r="P35" i="3"/>
  <c r="M35" i="3"/>
  <c r="Q34" i="3"/>
  <c r="M34" i="3"/>
  <c r="P34" i="3" s="1"/>
  <c r="Q33" i="3"/>
  <c r="M33" i="3"/>
  <c r="P33" i="3" s="1"/>
  <c r="Q32" i="3"/>
  <c r="M32" i="3"/>
  <c r="P32" i="3" s="1"/>
  <c r="Q31" i="3"/>
  <c r="P31" i="3"/>
  <c r="M31" i="3"/>
  <c r="Q30" i="3"/>
  <c r="M30" i="3"/>
  <c r="P30" i="3" s="1"/>
  <c r="Q29" i="3"/>
  <c r="M29" i="3"/>
  <c r="P29" i="3" s="1"/>
  <c r="Q28" i="3"/>
  <c r="M28" i="3"/>
  <c r="P28" i="3" s="1"/>
  <c r="Q27" i="3"/>
  <c r="P27" i="3"/>
  <c r="M27" i="3"/>
  <c r="Q26" i="3"/>
  <c r="M26" i="3"/>
  <c r="P26" i="3" s="1"/>
  <c r="Q25" i="3"/>
  <c r="M25" i="3"/>
  <c r="P25" i="3" s="1"/>
  <c r="Q24" i="3"/>
  <c r="M24" i="3"/>
  <c r="P24" i="3" s="1"/>
  <c r="Q23" i="3"/>
  <c r="P23" i="3"/>
  <c r="M23" i="3"/>
  <c r="Q22" i="3"/>
  <c r="M22" i="3"/>
  <c r="P22" i="3" s="1"/>
  <c r="Q21" i="3"/>
  <c r="M21" i="3"/>
  <c r="P21" i="3" s="1"/>
  <c r="Q20" i="3"/>
  <c r="M20" i="3"/>
  <c r="P20" i="3" s="1"/>
  <c r="Q19" i="3"/>
  <c r="P19" i="3"/>
  <c r="M19" i="3"/>
  <c r="Q18" i="3"/>
  <c r="M18" i="3"/>
  <c r="P18" i="3" s="1"/>
  <c r="Q17" i="3"/>
  <c r="M17" i="3"/>
  <c r="P17" i="3" s="1"/>
  <c r="Q16" i="3"/>
  <c r="M16" i="3"/>
  <c r="P16" i="3" s="1"/>
  <c r="Q15" i="3"/>
  <c r="P15" i="3"/>
  <c r="M15" i="3"/>
  <c r="Q14" i="3"/>
  <c r="M14" i="3"/>
  <c r="P14" i="3" s="1"/>
  <c r="Q13" i="3"/>
  <c r="M13" i="3"/>
  <c r="P13" i="3" s="1"/>
  <c r="Q12" i="3"/>
  <c r="M12" i="3"/>
  <c r="P12" i="3" s="1"/>
  <c r="Q11" i="3"/>
  <c r="P11" i="3"/>
  <c r="M11" i="3"/>
  <c r="Q10" i="3"/>
  <c r="M10" i="3"/>
  <c r="P10" i="3" s="1"/>
  <c r="Q9" i="3"/>
  <c r="M9" i="3"/>
  <c r="P9" i="3" s="1"/>
  <c r="Q8" i="3"/>
  <c r="M8" i="3"/>
  <c r="P8" i="3" s="1"/>
  <c r="F211" i="2"/>
  <c r="D210" i="2"/>
  <c r="D209" i="2"/>
  <c r="D208" i="2"/>
  <c r="D207" i="2"/>
  <c r="D206" i="2"/>
  <c r="D211" i="2" s="1"/>
  <c r="D203" i="2"/>
  <c r="S202" i="2"/>
  <c r="R202" i="2"/>
  <c r="Q202" i="2"/>
  <c r="P202" i="2"/>
  <c r="N202" i="2"/>
  <c r="R201" i="2"/>
  <c r="S201" i="2" s="1"/>
  <c r="Q201" i="2"/>
  <c r="N201" i="2"/>
  <c r="P201" i="2" s="1"/>
  <c r="R200" i="2"/>
  <c r="S200" i="2" s="1"/>
  <c r="Q200" i="2"/>
  <c r="P200" i="2"/>
  <c r="N200" i="2"/>
  <c r="S199" i="2"/>
  <c r="R199" i="2"/>
  <c r="N199" i="2"/>
  <c r="Q199" i="2" s="1"/>
  <c r="R198" i="2"/>
  <c r="S198" i="2" s="1"/>
  <c r="N198" i="2"/>
  <c r="Q198" i="2" s="1"/>
  <c r="S197" i="2"/>
  <c r="R197" i="2"/>
  <c r="Q197" i="2"/>
  <c r="P197" i="2"/>
  <c r="N197" i="2"/>
  <c r="R196" i="2"/>
  <c r="S196" i="2" s="1"/>
  <c r="P196" i="2"/>
  <c r="N196" i="2"/>
  <c r="Q196" i="2" s="1"/>
  <c r="R195" i="2"/>
  <c r="S195" i="2" s="1"/>
  <c r="N195" i="2"/>
  <c r="Q195" i="2" s="1"/>
  <c r="S194" i="2"/>
  <c r="R194" i="2"/>
  <c r="P194" i="2"/>
  <c r="N194" i="2"/>
  <c r="Q194" i="2" s="1"/>
  <c r="S193" i="2"/>
  <c r="R193" i="2"/>
  <c r="P193" i="2"/>
  <c r="N193" i="2"/>
  <c r="Q193" i="2" s="1"/>
  <c r="R192" i="2"/>
  <c r="S192" i="2" s="1"/>
  <c r="Q192" i="2"/>
  <c r="P192" i="2"/>
  <c r="N192" i="2"/>
  <c r="S191" i="2"/>
  <c r="R191" i="2"/>
  <c r="N191" i="2"/>
  <c r="Q191" i="2" s="1"/>
  <c r="S190" i="2"/>
  <c r="R190" i="2"/>
  <c r="Q190" i="2"/>
  <c r="P190" i="2"/>
  <c r="N190" i="2"/>
  <c r="S189" i="2"/>
  <c r="R189" i="2"/>
  <c r="Q189" i="2"/>
  <c r="N189" i="2"/>
  <c r="P189" i="2" s="1"/>
  <c r="R188" i="2"/>
  <c r="S188" i="2" s="1"/>
  <c r="Q188" i="2"/>
  <c r="P188" i="2"/>
  <c r="N188" i="2"/>
  <c r="S187" i="2"/>
  <c r="R187" i="2"/>
  <c r="N187" i="2"/>
  <c r="Q187" i="2" s="1"/>
  <c r="R186" i="2"/>
  <c r="S186" i="2" s="1"/>
  <c r="N186" i="2"/>
  <c r="Q186" i="2" s="1"/>
  <c r="S185" i="2"/>
  <c r="R185" i="2"/>
  <c r="Q185" i="2"/>
  <c r="P185" i="2"/>
  <c r="N185" i="2"/>
  <c r="R184" i="2"/>
  <c r="S184" i="2" s="1"/>
  <c r="Q184" i="2"/>
  <c r="P184" i="2"/>
  <c r="N184" i="2"/>
  <c r="R183" i="2"/>
  <c r="S183" i="2" s="1"/>
  <c r="N183" i="2"/>
  <c r="Q183" i="2" s="1"/>
  <c r="S182" i="2"/>
  <c r="R182" i="2"/>
  <c r="P182" i="2"/>
  <c r="N182" i="2"/>
  <c r="Q182" i="2" s="1"/>
  <c r="S181" i="2"/>
  <c r="R181" i="2"/>
  <c r="P181" i="2"/>
  <c r="N181" i="2"/>
  <c r="Q181" i="2" s="1"/>
  <c r="R180" i="2"/>
  <c r="S180" i="2" s="1"/>
  <c r="Q180" i="2"/>
  <c r="P180" i="2"/>
  <c r="N180" i="2"/>
  <c r="S179" i="2"/>
  <c r="R179" i="2"/>
  <c r="Q179" i="2"/>
  <c r="N179" i="2"/>
  <c r="P179" i="2" s="1"/>
  <c r="S178" i="2"/>
  <c r="R178" i="2"/>
  <c r="Q178" i="2"/>
  <c r="P178" i="2"/>
  <c r="N178" i="2"/>
  <c r="S177" i="2"/>
  <c r="R177" i="2"/>
  <c r="Q177" i="2"/>
  <c r="N177" i="2"/>
  <c r="P177" i="2" s="1"/>
  <c r="R176" i="2"/>
  <c r="S176" i="2" s="1"/>
  <c r="Q176" i="2"/>
  <c r="P176" i="2"/>
  <c r="N176" i="2"/>
  <c r="S175" i="2"/>
  <c r="R175" i="2"/>
  <c r="N175" i="2"/>
  <c r="Q175" i="2" s="1"/>
  <c r="R174" i="2"/>
  <c r="S174" i="2" s="1"/>
  <c r="N174" i="2"/>
  <c r="Q174" i="2" s="1"/>
  <c r="S173" i="2"/>
  <c r="R173" i="2"/>
  <c r="Q173" i="2"/>
  <c r="P173" i="2"/>
  <c r="N173" i="2"/>
  <c r="R172" i="2"/>
  <c r="S172" i="2" s="1"/>
  <c r="Q172" i="2"/>
  <c r="P172" i="2"/>
  <c r="N172" i="2"/>
  <c r="R171" i="2"/>
  <c r="S171" i="2" s="1"/>
  <c r="N171" i="2"/>
  <c r="Q171" i="2" s="1"/>
  <c r="S170" i="2"/>
  <c r="R170" i="2"/>
  <c r="P170" i="2"/>
  <c r="N170" i="2"/>
  <c r="Q170" i="2" s="1"/>
  <c r="S169" i="2"/>
  <c r="R169" i="2"/>
  <c r="P169" i="2"/>
  <c r="N169" i="2"/>
  <c r="Q169" i="2" s="1"/>
  <c r="R168" i="2"/>
  <c r="S168" i="2" s="1"/>
  <c r="Q168" i="2"/>
  <c r="P168" i="2"/>
  <c r="N168" i="2"/>
  <c r="S167" i="2"/>
  <c r="R167" i="2"/>
  <c r="Q167" i="2"/>
  <c r="N167" i="2"/>
  <c r="P167" i="2" s="1"/>
  <c r="S166" i="2"/>
  <c r="R166" i="2"/>
  <c r="Q166" i="2"/>
  <c r="P166" i="2"/>
  <c r="N166" i="2"/>
  <c r="S165" i="2"/>
  <c r="R165" i="2"/>
  <c r="Q165" i="2"/>
  <c r="N165" i="2"/>
  <c r="P165" i="2" s="1"/>
  <c r="R164" i="2"/>
  <c r="S164" i="2" s="1"/>
  <c r="Q164" i="2"/>
  <c r="P164" i="2"/>
  <c r="N164" i="2"/>
  <c r="S163" i="2"/>
  <c r="R163" i="2"/>
  <c r="N163" i="2"/>
  <c r="Q163" i="2" s="1"/>
  <c r="R162" i="2"/>
  <c r="S162" i="2" s="1"/>
  <c r="N162" i="2"/>
  <c r="Q162" i="2" s="1"/>
  <c r="S161" i="2"/>
  <c r="R161" i="2"/>
  <c r="Q161" i="2"/>
  <c r="P161" i="2"/>
  <c r="N161" i="2"/>
  <c r="R160" i="2"/>
  <c r="S160" i="2" s="1"/>
  <c r="Q160" i="2"/>
  <c r="P160" i="2"/>
  <c r="N160" i="2"/>
  <c r="R159" i="2"/>
  <c r="S159" i="2" s="1"/>
  <c r="N159" i="2"/>
  <c r="Q159" i="2" s="1"/>
  <c r="S158" i="2"/>
  <c r="R158" i="2"/>
  <c r="P158" i="2"/>
  <c r="N158" i="2"/>
  <c r="Q158" i="2" s="1"/>
  <c r="S157" i="2"/>
  <c r="R157" i="2"/>
  <c r="P157" i="2"/>
  <c r="N157" i="2"/>
  <c r="Q157" i="2" s="1"/>
  <c r="R156" i="2"/>
  <c r="S156" i="2" s="1"/>
  <c r="Q156" i="2"/>
  <c r="P156" i="2"/>
  <c r="N156" i="2"/>
  <c r="S155" i="2"/>
  <c r="R155" i="2"/>
  <c r="Q155" i="2"/>
  <c r="N155" i="2"/>
  <c r="P155" i="2" s="1"/>
  <c r="S154" i="2"/>
  <c r="R154" i="2"/>
  <c r="Q154" i="2"/>
  <c r="P154" i="2"/>
  <c r="N154" i="2"/>
  <c r="S153" i="2"/>
  <c r="R153" i="2"/>
  <c r="Q153" i="2"/>
  <c r="N153" i="2"/>
  <c r="P153" i="2" s="1"/>
  <c r="R152" i="2"/>
  <c r="S152" i="2" s="1"/>
  <c r="Q152" i="2"/>
  <c r="P152" i="2"/>
  <c r="N152" i="2"/>
  <c r="S151" i="2"/>
  <c r="R151" i="2"/>
  <c r="N151" i="2"/>
  <c r="Q151" i="2" s="1"/>
  <c r="R150" i="2"/>
  <c r="S150" i="2" s="1"/>
  <c r="N150" i="2"/>
  <c r="Q150" i="2" s="1"/>
  <c r="S149" i="2"/>
  <c r="R149" i="2"/>
  <c r="Q149" i="2"/>
  <c r="P149" i="2"/>
  <c r="N149" i="2"/>
  <c r="R148" i="2"/>
  <c r="S148" i="2" s="1"/>
  <c r="Q148" i="2"/>
  <c r="P148" i="2"/>
  <c r="N148" i="2"/>
  <c r="R147" i="2"/>
  <c r="S147" i="2" s="1"/>
  <c r="N147" i="2"/>
  <c r="Q147" i="2" s="1"/>
  <c r="S146" i="2"/>
  <c r="R146" i="2"/>
  <c r="P146" i="2"/>
  <c r="N146" i="2"/>
  <c r="Q146" i="2" s="1"/>
  <c r="S145" i="2"/>
  <c r="R145" i="2"/>
  <c r="P145" i="2"/>
  <c r="N145" i="2"/>
  <c r="Q145" i="2" s="1"/>
  <c r="R144" i="2"/>
  <c r="S144" i="2" s="1"/>
  <c r="Q144" i="2"/>
  <c r="P144" i="2"/>
  <c r="N144" i="2"/>
  <c r="S143" i="2"/>
  <c r="R143" i="2"/>
  <c r="Q143" i="2"/>
  <c r="N143" i="2"/>
  <c r="P143" i="2" s="1"/>
  <c r="S142" i="2"/>
  <c r="R142" i="2"/>
  <c r="Q142" i="2"/>
  <c r="P142" i="2"/>
  <c r="N142" i="2"/>
  <c r="S141" i="2"/>
  <c r="R141" i="2"/>
  <c r="Q141" i="2"/>
  <c r="N141" i="2"/>
  <c r="P141" i="2" s="1"/>
  <c r="R140" i="2"/>
  <c r="S140" i="2" s="1"/>
  <c r="Q140" i="2"/>
  <c r="P140" i="2"/>
  <c r="N140" i="2"/>
  <c r="S139" i="2"/>
  <c r="R139" i="2"/>
  <c r="N139" i="2"/>
  <c r="Q139" i="2" s="1"/>
  <c r="R138" i="2"/>
  <c r="S138" i="2" s="1"/>
  <c r="N138" i="2"/>
  <c r="Q138" i="2" s="1"/>
  <c r="S137" i="2"/>
  <c r="R137" i="2"/>
  <c r="Q137" i="2"/>
  <c r="P137" i="2"/>
  <c r="N137" i="2"/>
  <c r="R136" i="2"/>
  <c r="S136" i="2" s="1"/>
  <c r="Q136" i="2"/>
  <c r="P136" i="2"/>
  <c r="N136" i="2"/>
  <c r="R135" i="2"/>
  <c r="S135" i="2" s="1"/>
  <c r="N135" i="2"/>
  <c r="Q135" i="2" s="1"/>
  <c r="S134" i="2"/>
  <c r="R134" i="2"/>
  <c r="P134" i="2"/>
  <c r="N134" i="2"/>
  <c r="Q134" i="2" s="1"/>
  <c r="S133" i="2"/>
  <c r="R133" i="2"/>
  <c r="P133" i="2"/>
  <c r="N133" i="2"/>
  <c r="Q133" i="2" s="1"/>
  <c r="R132" i="2"/>
  <c r="S132" i="2" s="1"/>
  <c r="Q132" i="2"/>
  <c r="P132" i="2"/>
  <c r="N132" i="2"/>
  <c r="S131" i="2"/>
  <c r="R131" i="2"/>
  <c r="Q131" i="2"/>
  <c r="N131" i="2"/>
  <c r="P131" i="2" s="1"/>
  <c r="S130" i="2"/>
  <c r="R130" i="2"/>
  <c r="Q130" i="2"/>
  <c r="P130" i="2"/>
  <c r="N130" i="2"/>
  <c r="S129" i="2"/>
  <c r="R129" i="2"/>
  <c r="Q129" i="2"/>
  <c r="N129" i="2"/>
  <c r="P129" i="2" s="1"/>
  <c r="R128" i="2"/>
  <c r="S128" i="2" s="1"/>
  <c r="Q128" i="2"/>
  <c r="P128" i="2"/>
  <c r="N128" i="2"/>
  <c r="S127" i="2"/>
  <c r="R127" i="2"/>
  <c r="N127" i="2"/>
  <c r="Q127" i="2" s="1"/>
  <c r="R126" i="2"/>
  <c r="S126" i="2" s="1"/>
  <c r="N126" i="2"/>
  <c r="Q126" i="2" s="1"/>
  <c r="S125" i="2"/>
  <c r="R125" i="2"/>
  <c r="Q125" i="2"/>
  <c r="P125" i="2"/>
  <c r="N125" i="2"/>
  <c r="R124" i="2"/>
  <c r="S124" i="2" s="1"/>
  <c r="Q124" i="2"/>
  <c r="P124" i="2"/>
  <c r="N124" i="2"/>
  <c r="R123" i="2"/>
  <c r="S123" i="2" s="1"/>
  <c r="N123" i="2"/>
  <c r="Q123" i="2" s="1"/>
  <c r="S122" i="2"/>
  <c r="R122" i="2"/>
  <c r="P122" i="2"/>
  <c r="N122" i="2"/>
  <c r="Q122" i="2" s="1"/>
  <c r="S121" i="2"/>
  <c r="R121" i="2"/>
  <c r="P121" i="2"/>
  <c r="N121" i="2"/>
  <c r="Q121" i="2" s="1"/>
  <c r="R120" i="2"/>
  <c r="S120" i="2" s="1"/>
  <c r="Q120" i="2"/>
  <c r="P120" i="2"/>
  <c r="N120" i="2"/>
  <c r="S119" i="2"/>
  <c r="R119" i="2"/>
  <c r="Q119" i="2"/>
  <c r="N119" i="2"/>
  <c r="P119" i="2" s="1"/>
  <c r="S118" i="2"/>
  <c r="R118" i="2"/>
  <c r="Q118" i="2"/>
  <c r="P118" i="2"/>
  <c r="N118" i="2"/>
  <c r="S117" i="2"/>
  <c r="R117" i="2"/>
  <c r="Q117" i="2"/>
  <c r="N117" i="2"/>
  <c r="P117" i="2" s="1"/>
  <c r="R116" i="2"/>
  <c r="S116" i="2" s="1"/>
  <c r="Q116" i="2"/>
  <c r="P116" i="2"/>
  <c r="N116" i="2"/>
  <c r="S115" i="2"/>
  <c r="R115" i="2"/>
  <c r="N115" i="2"/>
  <c r="Q115" i="2" s="1"/>
  <c r="R114" i="2"/>
  <c r="S114" i="2" s="1"/>
  <c r="N114" i="2"/>
  <c r="Q114" i="2" s="1"/>
  <c r="S113" i="2"/>
  <c r="R113" i="2"/>
  <c r="Q113" i="2"/>
  <c r="P113" i="2"/>
  <c r="N113" i="2"/>
  <c r="R112" i="2"/>
  <c r="S112" i="2" s="1"/>
  <c r="Q112" i="2"/>
  <c r="P112" i="2"/>
  <c r="N112" i="2"/>
  <c r="R111" i="2"/>
  <c r="S111" i="2" s="1"/>
  <c r="N111" i="2"/>
  <c r="Q111" i="2" s="1"/>
  <c r="S110" i="2"/>
  <c r="R110" i="2"/>
  <c r="P110" i="2"/>
  <c r="N110" i="2"/>
  <c r="Q110" i="2" s="1"/>
  <c r="S109" i="2"/>
  <c r="R109" i="2"/>
  <c r="P109" i="2"/>
  <c r="N109" i="2"/>
  <c r="Q109" i="2" s="1"/>
  <c r="R108" i="2"/>
  <c r="S108" i="2" s="1"/>
  <c r="Q108" i="2"/>
  <c r="P108" i="2"/>
  <c r="N108" i="2"/>
  <c r="S107" i="2"/>
  <c r="R107" i="2"/>
  <c r="Q107" i="2"/>
  <c r="N107" i="2"/>
  <c r="P107" i="2" s="1"/>
  <c r="S106" i="2"/>
  <c r="R106" i="2"/>
  <c r="Q106" i="2"/>
  <c r="P106" i="2"/>
  <c r="N106" i="2"/>
  <c r="S105" i="2"/>
  <c r="R105" i="2"/>
  <c r="Q105" i="2"/>
  <c r="N105" i="2"/>
  <c r="P105" i="2" s="1"/>
  <c r="R104" i="2"/>
  <c r="S104" i="2" s="1"/>
  <c r="Q104" i="2"/>
  <c r="P104" i="2"/>
  <c r="N104" i="2"/>
  <c r="S103" i="2"/>
  <c r="R103" i="2"/>
  <c r="N103" i="2"/>
  <c r="Q103" i="2" s="1"/>
  <c r="R102" i="2"/>
  <c r="S102" i="2" s="1"/>
  <c r="N102" i="2"/>
  <c r="Q102" i="2" s="1"/>
  <c r="S101" i="2"/>
  <c r="R101" i="2"/>
  <c r="Q101" i="2"/>
  <c r="P101" i="2"/>
  <c r="N101" i="2"/>
  <c r="R100" i="2"/>
  <c r="S100" i="2" s="1"/>
  <c r="Q100" i="2"/>
  <c r="P100" i="2"/>
  <c r="N100" i="2"/>
  <c r="R99" i="2"/>
  <c r="S99" i="2" s="1"/>
  <c r="N99" i="2"/>
  <c r="Q99" i="2" s="1"/>
  <c r="S98" i="2"/>
  <c r="R98" i="2"/>
  <c r="P98" i="2"/>
  <c r="N98" i="2"/>
  <c r="Q98" i="2" s="1"/>
  <c r="S97" i="2"/>
  <c r="R97" i="2"/>
  <c r="P97" i="2"/>
  <c r="N97" i="2"/>
  <c r="Q97" i="2" s="1"/>
  <c r="R96" i="2"/>
  <c r="S96" i="2" s="1"/>
  <c r="Q96" i="2"/>
  <c r="P96" i="2"/>
  <c r="N96" i="2"/>
  <c r="S95" i="2"/>
  <c r="R95" i="2"/>
  <c r="Q95" i="2"/>
  <c r="N95" i="2"/>
  <c r="P95" i="2" s="1"/>
  <c r="S94" i="2"/>
  <c r="R94" i="2"/>
  <c r="Q94" i="2"/>
  <c r="P94" i="2"/>
  <c r="N94" i="2"/>
  <c r="S93" i="2"/>
  <c r="R93" i="2"/>
  <c r="Q93" i="2"/>
  <c r="N93" i="2"/>
  <c r="P93" i="2" s="1"/>
  <c r="R92" i="2"/>
  <c r="S92" i="2" s="1"/>
  <c r="Q92" i="2"/>
  <c r="P92" i="2"/>
  <c r="N92" i="2"/>
  <c r="S91" i="2"/>
  <c r="R91" i="2"/>
  <c r="N91" i="2"/>
  <c r="Q91" i="2" s="1"/>
  <c r="R90" i="2"/>
  <c r="S90" i="2" s="1"/>
  <c r="N90" i="2"/>
  <c r="Q90" i="2" s="1"/>
  <c r="S89" i="2"/>
  <c r="R89" i="2"/>
  <c r="Q89" i="2"/>
  <c r="P89" i="2"/>
  <c r="N89" i="2"/>
  <c r="R88" i="2"/>
  <c r="S88" i="2" s="1"/>
  <c r="Q88" i="2"/>
  <c r="P88" i="2"/>
  <c r="N88" i="2"/>
  <c r="R87" i="2"/>
  <c r="S87" i="2" s="1"/>
  <c r="N87" i="2"/>
  <c r="Q87" i="2" s="1"/>
  <c r="S86" i="2"/>
  <c r="R86" i="2"/>
  <c r="P86" i="2"/>
  <c r="N86" i="2"/>
  <c r="Q86" i="2" s="1"/>
  <c r="S85" i="2"/>
  <c r="R85" i="2"/>
  <c r="P85" i="2"/>
  <c r="N85" i="2"/>
  <c r="Q85" i="2" s="1"/>
  <c r="R84" i="2"/>
  <c r="S84" i="2" s="1"/>
  <c r="Q84" i="2"/>
  <c r="P84" i="2"/>
  <c r="N84" i="2"/>
  <c r="S83" i="2"/>
  <c r="R83" i="2"/>
  <c r="Q83" i="2"/>
  <c r="N83" i="2"/>
  <c r="P83" i="2" s="1"/>
  <c r="S82" i="2"/>
  <c r="R82" i="2"/>
  <c r="Q82" i="2"/>
  <c r="P82" i="2"/>
  <c r="N82" i="2"/>
  <c r="S81" i="2"/>
  <c r="R81" i="2"/>
  <c r="Q81" i="2"/>
  <c r="N81" i="2"/>
  <c r="P81" i="2" s="1"/>
  <c r="R80" i="2"/>
  <c r="S80" i="2" s="1"/>
  <c r="Q80" i="2"/>
  <c r="P80" i="2"/>
  <c r="N80" i="2"/>
  <c r="S79" i="2"/>
  <c r="R79" i="2"/>
  <c r="N79" i="2"/>
  <c r="Q79" i="2" s="1"/>
  <c r="R78" i="2"/>
  <c r="S78" i="2" s="1"/>
  <c r="N78" i="2"/>
  <c r="Q78" i="2" s="1"/>
  <c r="S77" i="2"/>
  <c r="R77" i="2"/>
  <c r="Q77" i="2"/>
  <c r="P77" i="2"/>
  <c r="N77" i="2"/>
  <c r="R76" i="2"/>
  <c r="S76" i="2" s="1"/>
  <c r="Q76" i="2"/>
  <c r="P76" i="2"/>
  <c r="N76" i="2"/>
  <c r="R75" i="2"/>
  <c r="S75" i="2" s="1"/>
  <c r="N75" i="2"/>
  <c r="Q75" i="2" s="1"/>
  <c r="S74" i="2"/>
  <c r="R74" i="2"/>
  <c r="P74" i="2"/>
  <c r="N74" i="2"/>
  <c r="Q74" i="2" s="1"/>
  <c r="S73" i="2"/>
  <c r="R73" i="2"/>
  <c r="P73" i="2"/>
  <c r="N73" i="2"/>
  <c r="Q73" i="2" s="1"/>
  <c r="R72" i="2"/>
  <c r="S72" i="2" s="1"/>
  <c r="Q72" i="2"/>
  <c r="P72" i="2"/>
  <c r="N72" i="2"/>
  <c r="S71" i="2"/>
  <c r="R71" i="2"/>
  <c r="Q71" i="2"/>
  <c r="N71" i="2"/>
  <c r="P71" i="2" s="1"/>
  <c r="S70" i="2"/>
  <c r="R70" i="2"/>
  <c r="Q70" i="2"/>
  <c r="P70" i="2"/>
  <c r="N70" i="2"/>
  <c r="S69" i="2"/>
  <c r="R69" i="2"/>
  <c r="Q69" i="2"/>
  <c r="N69" i="2"/>
  <c r="P69" i="2" s="1"/>
  <c r="R68" i="2"/>
  <c r="S68" i="2" s="1"/>
  <c r="Q68" i="2"/>
  <c r="P68" i="2"/>
  <c r="N68" i="2"/>
  <c r="S67" i="2"/>
  <c r="R67" i="2"/>
  <c r="N67" i="2"/>
  <c r="Q67" i="2" s="1"/>
  <c r="R66" i="2"/>
  <c r="S66" i="2" s="1"/>
  <c r="N66" i="2"/>
  <c r="Q66" i="2" s="1"/>
  <c r="S65" i="2"/>
  <c r="R65" i="2"/>
  <c r="Q65" i="2"/>
  <c r="P65" i="2"/>
  <c r="N65" i="2"/>
  <c r="R64" i="2"/>
  <c r="S64" i="2" s="1"/>
  <c r="Q64" i="2"/>
  <c r="P64" i="2"/>
  <c r="N64" i="2"/>
  <c r="R63" i="2"/>
  <c r="S63" i="2" s="1"/>
  <c r="N63" i="2"/>
  <c r="Q63" i="2" s="1"/>
  <c r="S62" i="2"/>
  <c r="R62" i="2"/>
  <c r="P62" i="2"/>
  <c r="N62" i="2"/>
  <c r="Q62" i="2" s="1"/>
  <c r="S61" i="2"/>
  <c r="R61" i="2"/>
  <c r="P61" i="2"/>
  <c r="N61" i="2"/>
  <c r="Q61" i="2" s="1"/>
  <c r="R60" i="2"/>
  <c r="S60" i="2" s="1"/>
  <c r="Q60" i="2"/>
  <c r="P60" i="2"/>
  <c r="N60" i="2"/>
  <c r="S59" i="2"/>
  <c r="R59" i="2"/>
  <c r="Q59" i="2"/>
  <c r="N59" i="2"/>
  <c r="P59" i="2" s="1"/>
  <c r="S58" i="2"/>
  <c r="R58" i="2"/>
  <c r="Q58" i="2"/>
  <c r="P58" i="2"/>
  <c r="N58" i="2"/>
  <c r="S57" i="2"/>
  <c r="R57" i="2"/>
  <c r="Q57" i="2"/>
  <c r="N57" i="2"/>
  <c r="P57" i="2" s="1"/>
  <c r="R56" i="2"/>
  <c r="S56" i="2" s="1"/>
  <c r="Q56" i="2"/>
  <c r="P56" i="2"/>
  <c r="N56" i="2"/>
  <c r="S55" i="2"/>
  <c r="R55" i="2"/>
  <c r="N55" i="2"/>
  <c r="Q55" i="2" s="1"/>
  <c r="R54" i="2"/>
  <c r="S54" i="2" s="1"/>
  <c r="N54" i="2"/>
  <c r="Q54" i="2" s="1"/>
  <c r="S53" i="2"/>
  <c r="R53" i="2"/>
  <c r="Q53" i="2"/>
  <c r="P53" i="2"/>
  <c r="N53" i="2"/>
  <c r="R52" i="2"/>
  <c r="S52" i="2" s="1"/>
  <c r="Q52" i="2"/>
  <c r="P52" i="2"/>
  <c r="N52" i="2"/>
  <c r="R51" i="2"/>
  <c r="S51" i="2" s="1"/>
  <c r="N51" i="2"/>
  <c r="Q51" i="2" s="1"/>
  <c r="S50" i="2"/>
  <c r="R50" i="2"/>
  <c r="P50" i="2"/>
  <c r="N50" i="2"/>
  <c r="Q50" i="2" s="1"/>
  <c r="S49" i="2"/>
  <c r="R49" i="2"/>
  <c r="P49" i="2"/>
  <c r="N49" i="2"/>
  <c r="Q49" i="2" s="1"/>
  <c r="R48" i="2"/>
  <c r="S48" i="2" s="1"/>
  <c r="Q48" i="2"/>
  <c r="P48" i="2"/>
  <c r="N48" i="2"/>
  <c r="S47" i="2"/>
  <c r="R47" i="2"/>
  <c r="Q47" i="2"/>
  <c r="N47" i="2"/>
  <c r="P47" i="2" s="1"/>
  <c r="S46" i="2"/>
  <c r="R46" i="2"/>
  <c r="Q46" i="2"/>
  <c r="P46" i="2"/>
  <c r="N46" i="2"/>
  <c r="S45" i="2"/>
  <c r="R45" i="2"/>
  <c r="Q45" i="2"/>
  <c r="N45" i="2"/>
  <c r="P45" i="2" s="1"/>
  <c r="R44" i="2"/>
  <c r="S44" i="2" s="1"/>
  <c r="Q44" i="2"/>
  <c r="P44" i="2"/>
  <c r="N44" i="2"/>
  <c r="S43" i="2"/>
  <c r="R43" i="2"/>
  <c r="N43" i="2"/>
  <c r="Q43" i="2" s="1"/>
  <c r="R42" i="2"/>
  <c r="S42" i="2" s="1"/>
  <c r="N42" i="2"/>
  <c r="Q42" i="2" s="1"/>
  <c r="S41" i="2"/>
  <c r="R41" i="2"/>
  <c r="Q41" i="2"/>
  <c r="P41" i="2"/>
  <c r="N41" i="2"/>
  <c r="R40" i="2"/>
  <c r="S40" i="2" s="1"/>
  <c r="Q40" i="2"/>
  <c r="P40" i="2"/>
  <c r="N40" i="2"/>
  <c r="R39" i="2"/>
  <c r="S39" i="2" s="1"/>
  <c r="N39" i="2"/>
  <c r="Q39" i="2" s="1"/>
  <c r="S38" i="2"/>
  <c r="R38" i="2"/>
  <c r="P38" i="2"/>
  <c r="N38" i="2"/>
  <c r="Q38" i="2" s="1"/>
  <c r="S37" i="2"/>
  <c r="R37" i="2"/>
  <c r="P37" i="2"/>
  <c r="N37" i="2"/>
  <c r="Q37" i="2" s="1"/>
  <c r="R36" i="2"/>
  <c r="S36" i="2" s="1"/>
  <c r="Q36" i="2"/>
  <c r="P36" i="2"/>
  <c r="N36" i="2"/>
  <c r="S35" i="2"/>
  <c r="R35" i="2"/>
  <c r="Q35" i="2"/>
  <c r="N35" i="2"/>
  <c r="P35" i="2" s="1"/>
  <c r="S34" i="2"/>
  <c r="R34" i="2"/>
  <c r="Q34" i="2"/>
  <c r="P34" i="2"/>
  <c r="N34" i="2"/>
  <c r="S33" i="2"/>
  <c r="R33" i="2"/>
  <c r="Q33" i="2"/>
  <c r="N33" i="2"/>
  <c r="P33" i="2" s="1"/>
  <c r="R32" i="2"/>
  <c r="S32" i="2" s="1"/>
  <c r="Q32" i="2"/>
  <c r="P32" i="2"/>
  <c r="N32" i="2"/>
  <c r="S31" i="2"/>
  <c r="R31" i="2"/>
  <c r="N31" i="2"/>
  <c r="Q31" i="2" s="1"/>
  <c r="R30" i="2"/>
  <c r="S30" i="2" s="1"/>
  <c r="N30" i="2"/>
  <c r="Q30" i="2" s="1"/>
  <c r="S29" i="2"/>
  <c r="R29" i="2"/>
  <c r="Q29" i="2"/>
  <c r="P29" i="2"/>
  <c r="N29" i="2"/>
  <c r="R28" i="2"/>
  <c r="S28" i="2" s="1"/>
  <c r="Q28" i="2"/>
  <c r="P28" i="2"/>
  <c r="N28" i="2"/>
  <c r="R27" i="2"/>
  <c r="S27" i="2" s="1"/>
  <c r="N27" i="2"/>
  <c r="Q27" i="2" s="1"/>
  <c r="S26" i="2"/>
  <c r="R26" i="2"/>
  <c r="P26" i="2"/>
  <c r="N26" i="2"/>
  <c r="Q26" i="2" s="1"/>
  <c r="S25" i="2"/>
  <c r="R25" i="2"/>
  <c r="P25" i="2"/>
  <c r="N25" i="2"/>
  <c r="Q25" i="2" s="1"/>
  <c r="R24" i="2"/>
  <c r="S24" i="2" s="1"/>
  <c r="Q24" i="2"/>
  <c r="P24" i="2"/>
  <c r="N24" i="2"/>
  <c r="S23" i="2"/>
  <c r="R23" i="2"/>
  <c r="Q23" i="2"/>
  <c r="N23" i="2"/>
  <c r="P23" i="2" s="1"/>
  <c r="S22" i="2"/>
  <c r="R22" i="2"/>
  <c r="Q22" i="2"/>
  <c r="P22" i="2"/>
  <c r="N22" i="2"/>
  <c r="S21" i="2"/>
  <c r="R21" i="2"/>
  <c r="Q21" i="2"/>
  <c r="N21" i="2"/>
  <c r="P21" i="2" s="1"/>
  <c r="R20" i="2"/>
  <c r="S20" i="2" s="1"/>
  <c r="Q20" i="2"/>
  <c r="P20" i="2"/>
  <c r="N20" i="2"/>
  <c r="S19" i="2"/>
  <c r="R19" i="2"/>
  <c r="N19" i="2"/>
  <c r="Q19" i="2" s="1"/>
  <c r="R18" i="2"/>
  <c r="S18" i="2" s="1"/>
  <c r="N18" i="2"/>
  <c r="Q18" i="2" s="1"/>
  <c r="S17" i="2"/>
  <c r="R17" i="2"/>
  <c r="Q17" i="2"/>
  <c r="P17" i="2"/>
  <c r="N17" i="2"/>
  <c r="R16" i="2"/>
  <c r="S16" i="2" s="1"/>
  <c r="Q16" i="2"/>
  <c r="P16" i="2"/>
  <c r="N16" i="2"/>
  <c r="R15" i="2"/>
  <c r="S15" i="2" s="1"/>
  <c r="N15" i="2"/>
  <c r="Q15" i="2" s="1"/>
  <c r="S14" i="2"/>
  <c r="R14" i="2"/>
  <c r="P14" i="2"/>
  <c r="N14" i="2"/>
  <c r="Q14" i="2" s="1"/>
  <c r="S13" i="2"/>
  <c r="R13" i="2"/>
  <c r="P13" i="2"/>
  <c r="N13" i="2"/>
  <c r="Q13" i="2" s="1"/>
  <c r="R12" i="2"/>
  <c r="S12" i="2" s="1"/>
  <c r="Q12" i="2"/>
  <c r="P12" i="2"/>
  <c r="N12" i="2"/>
  <c r="S11" i="2"/>
  <c r="R11" i="2"/>
  <c r="Q11" i="2"/>
  <c r="N11" i="2"/>
  <c r="P11" i="2" s="1"/>
  <c r="S10" i="2"/>
  <c r="R10" i="2"/>
  <c r="Q10" i="2"/>
  <c r="P10" i="2"/>
  <c r="N10" i="2"/>
  <c r="S9" i="2"/>
  <c r="R9" i="2"/>
  <c r="Q9" i="2"/>
  <c r="N9" i="2"/>
  <c r="P9" i="2" s="1"/>
  <c r="R8" i="2"/>
  <c r="S8" i="2" s="1"/>
  <c r="Q8" i="2"/>
  <c r="P8" i="2"/>
  <c r="N8" i="2"/>
  <c r="S7" i="2"/>
  <c r="R7" i="2"/>
  <c r="N7" i="2"/>
  <c r="Q7" i="2" s="1"/>
  <c r="F54" i="5"/>
  <c r="G54" i="5"/>
  <c r="G48" i="5"/>
  <c r="G22" i="5"/>
  <c r="G16" i="5"/>
  <c r="F22" i="5"/>
  <c r="F16" i="5"/>
  <c r="D54" i="5"/>
  <c r="I56" i="5"/>
  <c r="H56" i="5"/>
  <c r="E56" i="5"/>
  <c r="D56" i="5"/>
  <c r="I24" i="5"/>
  <c r="E24" i="5"/>
  <c r="D24" i="5"/>
  <c r="H24" i="5"/>
  <c r="A90" i="5"/>
  <c r="D80" i="5"/>
  <c r="F80" i="5"/>
  <c r="D73" i="5"/>
  <c r="D77" i="5"/>
  <c r="D78" i="5" s="1"/>
  <c r="E69" i="5"/>
  <c r="D69" i="5" s="1"/>
  <c r="F68" i="5"/>
  <c r="F70" i="5"/>
  <c r="E70" i="5"/>
  <c r="D70" i="5" s="1"/>
  <c r="F69" i="5"/>
  <c r="E68" i="5"/>
  <c r="E71" i="5" s="1"/>
  <c r="I54" i="5"/>
  <c r="I48" i="5"/>
  <c r="E48" i="5" s="1"/>
  <c r="E53" i="5"/>
  <c r="E52" i="5"/>
  <c r="E51" i="5"/>
  <c r="D48" i="5"/>
  <c r="D58" i="5" s="1"/>
  <c r="E50" i="5"/>
  <c r="H48" i="5"/>
  <c r="H58" i="5" s="1"/>
  <c r="E49" i="5"/>
  <c r="E55" i="5"/>
  <c r="E54" i="5" s="1"/>
  <c r="H54" i="5"/>
  <c r="P15" i="2" l="1"/>
  <c r="P27" i="2"/>
  <c r="P39" i="2"/>
  <c r="P51" i="2"/>
  <c r="P63" i="2"/>
  <c r="P75" i="2"/>
  <c r="P87" i="2"/>
  <c r="P99" i="2"/>
  <c r="P111" i="2"/>
  <c r="P123" i="2"/>
  <c r="P135" i="2"/>
  <c r="P147" i="2"/>
  <c r="P159" i="2"/>
  <c r="P171" i="2"/>
  <c r="P183" i="2"/>
  <c r="P195" i="2"/>
  <c r="P18" i="2"/>
  <c r="P42" i="2"/>
  <c r="P54" i="2"/>
  <c r="P66" i="2"/>
  <c r="P78" i="2"/>
  <c r="P90" i="2"/>
  <c r="P102" i="2"/>
  <c r="P114" i="2"/>
  <c r="P126" i="2"/>
  <c r="P138" i="2"/>
  <c r="P150" i="2"/>
  <c r="P162" i="2"/>
  <c r="P174" i="2"/>
  <c r="P186" i="2"/>
  <c r="P198" i="2"/>
  <c r="P30" i="2"/>
  <c r="P191" i="2"/>
  <c r="P7" i="2"/>
  <c r="P19" i="2"/>
  <c r="P31" i="2"/>
  <c r="P43" i="2"/>
  <c r="P55" i="2"/>
  <c r="P67" i="2"/>
  <c r="P79" i="2"/>
  <c r="P91" i="2"/>
  <c r="P103" i="2"/>
  <c r="P115" i="2"/>
  <c r="P127" i="2"/>
  <c r="P139" i="2"/>
  <c r="P151" i="2"/>
  <c r="P163" i="2"/>
  <c r="P175" i="2"/>
  <c r="P187" i="2"/>
  <c r="P199" i="2"/>
  <c r="F26" i="5"/>
  <c r="G26" i="5"/>
  <c r="E90" i="5" s="1"/>
  <c r="F58" i="5"/>
  <c r="G58" i="5"/>
  <c r="G90" i="5" s="1"/>
  <c r="F71" i="5"/>
  <c r="F83" i="5" s="1"/>
  <c r="H92" i="5"/>
  <c r="F81" i="5"/>
  <c r="E72" i="5"/>
  <c r="D83" i="5"/>
  <c r="D79" i="5"/>
  <c r="D81" i="5" s="1"/>
  <c r="D68" i="5"/>
  <c r="I58" i="5"/>
  <c r="E58" i="5" s="1"/>
  <c r="H90" i="5" l="1"/>
  <c r="D71" i="5"/>
  <c r="D72" i="5" s="1"/>
  <c r="F72" i="5"/>
  <c r="H20" i="5"/>
  <c r="H18" i="5"/>
  <c r="E79" i="5"/>
  <c r="D82" i="5"/>
  <c r="E78" i="5"/>
  <c r="E80" i="5"/>
  <c r="G80" i="5"/>
  <c r="G77" i="5"/>
  <c r="G78" i="5"/>
  <c r="G79" i="5"/>
  <c r="G91" i="5"/>
  <c r="E60" i="5"/>
  <c r="I17" i="5"/>
  <c r="H23" i="5"/>
  <c r="H91" i="5" l="1"/>
  <c r="H17" i="5"/>
  <c r="E17" i="5" s="1"/>
  <c r="I20" i="5"/>
  <c r="I19" i="5"/>
  <c r="I23" i="5"/>
  <c r="I22" i="5" s="1"/>
  <c r="I18" i="5"/>
  <c r="H19" i="5"/>
  <c r="E19" i="5" s="1"/>
  <c r="I21" i="5"/>
  <c r="H21" i="5"/>
  <c r="G81" i="5"/>
  <c r="E20" i="5"/>
  <c r="E81" i="5"/>
  <c r="H22" i="5"/>
  <c r="D22" i="5"/>
  <c r="E23" i="5"/>
  <c r="E22" i="5" s="1"/>
  <c r="E18" i="5"/>
  <c r="H16" i="5" l="1"/>
  <c r="H26" i="5" s="1"/>
  <c r="H27" i="5" s="1"/>
  <c r="I16" i="5"/>
  <c r="E27" i="5" s="1"/>
  <c r="E21" i="5"/>
  <c r="D38" i="5"/>
  <c r="I26" i="5" l="1"/>
  <c r="E26" i="5" s="1"/>
  <c r="E16" i="5"/>
  <c r="F38" i="5"/>
  <c r="G37" i="5" l="1"/>
  <c r="G36" i="5"/>
  <c r="G35" i="5"/>
  <c r="G34" i="5"/>
  <c r="G33" i="5"/>
  <c r="I27" i="5"/>
  <c r="E91" i="5"/>
  <c r="E38" i="5"/>
  <c r="G38" i="5" l="1"/>
</calcChain>
</file>

<file path=xl/sharedStrings.xml><?xml version="1.0" encoding="utf-8"?>
<sst xmlns="http://schemas.openxmlformats.org/spreadsheetml/2006/main" count="654" uniqueCount="561">
  <si>
    <t>20 -</t>
  </si>
  <si>
    <t>21 -</t>
  </si>
  <si>
    <t>22 -</t>
  </si>
  <si>
    <t>23 -</t>
  </si>
  <si>
    <t>2X -</t>
  </si>
  <si>
    <t>6X -</t>
  </si>
  <si>
    <t>%</t>
  </si>
  <si>
    <t>Partida</t>
  </si>
  <si>
    <t>ADO-17</t>
  </si>
  <si>
    <t>ADO-12</t>
  </si>
  <si>
    <t>capit</t>
  </si>
  <si>
    <t>INFORMACIÓN SOBRE PLAZOS DE PAGO</t>
  </si>
  <si>
    <t>Entidad local:</t>
  </si>
  <si>
    <t>Ejercicio:</t>
  </si>
  <si>
    <t>Trimestre:</t>
  </si>
  <si>
    <t>1.1. Por clasificación económica</t>
  </si>
  <si>
    <t>1.2. Por plazos</t>
  </si>
  <si>
    <t>Pagos en el trimestre</t>
  </si>
  <si>
    <t>Plazo de pago</t>
  </si>
  <si>
    <t>(promedio de días)</t>
  </si>
  <si>
    <t>Total</t>
  </si>
  <si>
    <t>Dentro del plazo legal</t>
  </si>
  <si>
    <t>Fuera del plazo legal</t>
  </si>
  <si>
    <t>Pagos realizados en el trimestre</t>
  </si>
  <si>
    <t>Número de pagos</t>
  </si>
  <si>
    <t>Importe total</t>
  </si>
  <si>
    <t>Arrendamientos y cánones</t>
  </si>
  <si>
    <t>Reparaciones, mantenimiento y conservación</t>
  </si>
  <si>
    <t>Material, suministros y otros</t>
  </si>
  <si>
    <t>Indemnizaciones por razón del servicio</t>
  </si>
  <si>
    <t>Otros</t>
  </si>
  <si>
    <t>Inversiones reales</t>
  </si>
  <si>
    <t>Pagos pendientes de aplicar al presupuesto</t>
  </si>
  <si>
    <t>* sólo facturas correspondientes a capítulos 2 y 6</t>
  </si>
  <si>
    <t>Pagos pendientes de aplicar al presupuesto*</t>
  </si>
  <si>
    <t>Gasto en bienes corrientes y servicios</t>
  </si>
  <si>
    <t>Número de días</t>
  </si>
  <si>
    <t>30 días o menos</t>
  </si>
  <si>
    <t>De 31 a 40 días</t>
  </si>
  <si>
    <t>De 51 a 60 días</t>
  </si>
  <si>
    <t>Más de 60 días</t>
  </si>
  <si>
    <t>Pagos realizados</t>
  </si>
  <si>
    <t>Número de facturas</t>
  </si>
  <si>
    <t>Pendientes de pago al finalizar el trimestre</t>
  </si>
  <si>
    <t>Número de operaciones</t>
  </si>
  <si>
    <t>Pendientes de aplicación al presupuesto</t>
  </si>
  <si>
    <t>Plazo
(promedio de días)</t>
  </si>
  <si>
    <t>Número</t>
  </si>
  <si>
    <t>De 31 a 60 días</t>
  </si>
  <si>
    <t>De 61 a 90 días</t>
  </si>
  <si>
    <t>Más de 90 días</t>
  </si>
  <si>
    <t>4. Plazo medio de pago de la entidad (PMP)</t>
  </si>
  <si>
    <t>PMP del trimestre</t>
  </si>
  <si>
    <t>Observaciones sobre el PMP:</t>
  </si>
  <si>
    <t>Ratio</t>
  </si>
  <si>
    <t>Facturas sin obligación reconocida</t>
  </si>
  <si>
    <t>PMP</t>
  </si>
  <si>
    <t>Importe</t>
  </si>
  <si>
    <t>Operaciones pagadas</t>
  </si>
  <si>
    <t>Operaciones pendientes de pago</t>
  </si>
  <si>
    <t>De las de fuera de plazo</t>
  </si>
  <si>
    <t>Facturas y documento justificativos
pendientes de pago al final del trimestre</t>
  </si>
  <si>
    <t>Facturas y documentos justificativos 
sin obligación reconocida
pasados más tres meses desde su registro</t>
  </si>
  <si>
    <t>3.1. Con más de tres meses desde su entrada en registro</t>
  </si>
  <si>
    <t>3. Facturas y documentos justificativos sin obligación reconocida al finalizar el trimestre</t>
  </si>
  <si>
    <t>3.2. Número de días desde su entrada en registro</t>
  </si>
  <si>
    <t>Facturas y documentos justificativos
sin obligación reconocida</t>
  </si>
  <si>
    <t>1. Pagos realizados en el trimestre. Plazo desde el reconocimiento de la obligación.</t>
  </si>
  <si>
    <t>2. Facturas pendientes de pago. Plazo desde el reconocimiento de la obligación.</t>
  </si>
  <si>
    <t>Facturas pagadas en el trimestre</t>
  </si>
  <si>
    <t>Número expediente</t>
  </si>
  <si>
    <t>Fecha fra</t>
  </si>
  <si>
    <t>Número fra</t>
  </si>
  <si>
    <t>Código Tercero</t>
  </si>
  <si>
    <t>Tercero</t>
  </si>
  <si>
    <t>Concepto</t>
  </si>
  <si>
    <t>Fecha Registro</t>
  </si>
  <si>
    <t>Fecha Descent.</t>
  </si>
  <si>
    <t>Fecha O</t>
  </si>
  <si>
    <t>Fecha P</t>
  </si>
  <si>
    <t>Plazo R-O</t>
  </si>
  <si>
    <t>Plazo
 O-P</t>
  </si>
  <si>
    <t>Plazo
 R-P</t>
  </si>
  <si>
    <t>Artic</t>
  </si>
  <si>
    <t>ponderación 1</t>
  </si>
  <si>
    <t>ponderación 2</t>
  </si>
  <si>
    <t>En plazo</t>
  </si>
  <si>
    <t>Plazo
 O
 - fin Trim</t>
  </si>
  <si>
    <t>Plazo
 R 
  - Fin Trim</t>
  </si>
  <si>
    <t>Fin trim.</t>
  </si>
  <si>
    <t>Las que se quedan sin pagar en el trimestre</t>
  </si>
  <si>
    <t>OARSOALDEA</t>
  </si>
  <si>
    <t>FCC2300558</t>
  </si>
  <si>
    <t>07/2023</t>
  </si>
  <si>
    <t>FCC2300654</t>
  </si>
  <si>
    <t>0000366808/2023</t>
  </si>
  <si>
    <t>FCC2300655</t>
  </si>
  <si>
    <t>0000386726/2023</t>
  </si>
  <si>
    <t>FCC2300660</t>
  </si>
  <si>
    <t>FVC2300007</t>
  </si>
  <si>
    <t>FCC2300689</t>
  </si>
  <si>
    <t>2105/23</t>
  </si>
  <si>
    <t>FCC2300696</t>
  </si>
  <si>
    <t>08/2023</t>
  </si>
  <si>
    <t>FCC2300697</t>
  </si>
  <si>
    <t>TB-2023-F 1</t>
  </si>
  <si>
    <t>FCC2300747</t>
  </si>
  <si>
    <t>FVC2300008</t>
  </si>
  <si>
    <t>FCC2300754</t>
  </si>
  <si>
    <t>09/2023</t>
  </si>
  <si>
    <t>FCC2300759</t>
  </si>
  <si>
    <t>A2324052126</t>
  </si>
  <si>
    <t>FCC2300767</t>
  </si>
  <si>
    <t>0000439739/2023</t>
  </si>
  <si>
    <t>FCC2300768</t>
  </si>
  <si>
    <t>0000437589/2023</t>
  </si>
  <si>
    <t>FCC2300800</t>
  </si>
  <si>
    <t>0000486274/2023</t>
  </si>
  <si>
    <t>FCC2300801</t>
  </si>
  <si>
    <t>0000488459/2023</t>
  </si>
  <si>
    <t>FCC2300847</t>
  </si>
  <si>
    <t>FVC2300009</t>
  </si>
  <si>
    <t>FCC2300870</t>
  </si>
  <si>
    <t>21/2023</t>
  </si>
  <si>
    <t>FCC2300657</t>
  </si>
  <si>
    <t>INV-2023-11120</t>
  </si>
  <si>
    <t>FCC2300663</t>
  </si>
  <si>
    <t>852/2023</t>
  </si>
  <si>
    <t>FCC2300687</t>
  </si>
  <si>
    <t>CONTRATO 1262</t>
  </si>
  <si>
    <t>FCC2300691</t>
  </si>
  <si>
    <t>NB-5236098</t>
  </si>
  <si>
    <t>FCC2300694</t>
  </si>
  <si>
    <t>B2650740</t>
  </si>
  <si>
    <t>FCC2300727</t>
  </si>
  <si>
    <t>2501875/AM</t>
  </si>
  <si>
    <t>FCC2300748</t>
  </si>
  <si>
    <t>965/2023</t>
  </si>
  <si>
    <t>FCC2300755</t>
  </si>
  <si>
    <t>302302201</t>
  </si>
  <si>
    <t>FCC2300770</t>
  </si>
  <si>
    <t>4306388</t>
  </si>
  <si>
    <t>FCC2300778</t>
  </si>
  <si>
    <t>CONTRATO 1422</t>
  </si>
  <si>
    <t>FCC2300780</t>
  </si>
  <si>
    <t>A/002780</t>
  </si>
  <si>
    <t>FCC2300781</t>
  </si>
  <si>
    <t>NB-5236229</t>
  </si>
  <si>
    <t>FCC2300786</t>
  </si>
  <si>
    <t>2301260</t>
  </si>
  <si>
    <t>FCC2300791</t>
  </si>
  <si>
    <t>SL23000592</t>
  </si>
  <si>
    <t>FCC2300810</t>
  </si>
  <si>
    <t>4307736</t>
  </si>
  <si>
    <t>FCC2300865</t>
  </si>
  <si>
    <t>E202309-86096</t>
  </si>
  <si>
    <t>FCC2300866</t>
  </si>
  <si>
    <t>E202309-86097</t>
  </si>
  <si>
    <t>FCC2300869</t>
  </si>
  <si>
    <t>22/2023</t>
  </si>
  <si>
    <t>FCC2300871</t>
  </si>
  <si>
    <t>A/002958</t>
  </si>
  <si>
    <t>FCC2300872</t>
  </si>
  <si>
    <t>A/002957</t>
  </si>
  <si>
    <t>FCC2300873</t>
  </si>
  <si>
    <t>A/002959</t>
  </si>
  <si>
    <t>FCC2300882</t>
  </si>
  <si>
    <t>1.095/2023</t>
  </si>
  <si>
    <t>FCC2300894</t>
  </si>
  <si>
    <t>A/003005</t>
  </si>
  <si>
    <t>FCC2300662</t>
  </si>
  <si>
    <t>HD0660</t>
  </si>
  <si>
    <t>FCC2300688</t>
  </si>
  <si>
    <t>8797</t>
  </si>
  <si>
    <t>FCC2300690</t>
  </si>
  <si>
    <t>2106/23</t>
  </si>
  <si>
    <t>FCC2300713</t>
  </si>
  <si>
    <t>FS2/2023/00015837</t>
  </si>
  <si>
    <t>FCC2300717</t>
  </si>
  <si>
    <t>FS2/2023/00016340</t>
  </si>
  <si>
    <t>FCC2300724</t>
  </si>
  <si>
    <t>9399</t>
  </si>
  <si>
    <t>FCC2300725</t>
  </si>
  <si>
    <t>AA23001872</t>
  </si>
  <si>
    <t>FCC2300726</t>
  </si>
  <si>
    <t>FS2/2023/00016777</t>
  </si>
  <si>
    <t>FCC2300729</t>
  </si>
  <si>
    <t>0/004426/2023</t>
  </si>
  <si>
    <t>FCC2300730</t>
  </si>
  <si>
    <t>202302218</t>
  </si>
  <si>
    <t>FCC2300763</t>
  </si>
  <si>
    <t>7250199841</t>
  </si>
  <si>
    <t>FCC2300764</t>
  </si>
  <si>
    <t>7250199842</t>
  </si>
  <si>
    <t>FCC2300802</t>
  </si>
  <si>
    <t>7250200550</t>
  </si>
  <si>
    <t>FCC2300816</t>
  </si>
  <si>
    <t>19/2023</t>
  </si>
  <si>
    <t>FCC2300817</t>
  </si>
  <si>
    <t>AA23002094</t>
  </si>
  <si>
    <t>FCC2300818</t>
  </si>
  <si>
    <t>AA23002100</t>
  </si>
  <si>
    <t>FCC2300819</t>
  </si>
  <si>
    <t>18/2023</t>
  </si>
  <si>
    <t>FCC2300634</t>
  </si>
  <si>
    <t>28-G3U1-108816</t>
  </si>
  <si>
    <t>FCC2300635</t>
  </si>
  <si>
    <t>TA74G0059823</t>
  </si>
  <si>
    <t>FCC2300659</t>
  </si>
  <si>
    <t>0302307FV0075</t>
  </si>
  <si>
    <t>FCC2300667</t>
  </si>
  <si>
    <t>B-0000143</t>
  </si>
  <si>
    <t>FCC2300676</t>
  </si>
  <si>
    <t>2022/133</t>
  </si>
  <si>
    <t>FCC2300678</t>
  </si>
  <si>
    <t>2023/229</t>
  </si>
  <si>
    <t>FCC2300680</t>
  </si>
  <si>
    <t>2023/228</t>
  </si>
  <si>
    <t>FCC2300682</t>
  </si>
  <si>
    <t>CS_C006230000570</t>
  </si>
  <si>
    <t>FCC2300683</t>
  </si>
  <si>
    <t>CS_C006230000569</t>
  </si>
  <si>
    <t>FCC2300684</t>
  </si>
  <si>
    <t>E0300O9N30</t>
  </si>
  <si>
    <t>FCC2300685</t>
  </si>
  <si>
    <t>E0300O9RF6</t>
  </si>
  <si>
    <t>FCC2300686</t>
  </si>
  <si>
    <t>F23058</t>
  </si>
  <si>
    <t>FCC2300698</t>
  </si>
  <si>
    <t>FBADS-700-102651620</t>
  </si>
  <si>
    <t>FCC2300699</t>
  </si>
  <si>
    <t>FBADS-700-102643447</t>
  </si>
  <si>
    <t>FCC2300704</t>
  </si>
  <si>
    <t>TB-2023-F 12</t>
  </si>
  <si>
    <t>FCC2300708</t>
  </si>
  <si>
    <t>PC-000003003</t>
  </si>
  <si>
    <t>FCC2300714</t>
  </si>
  <si>
    <t>Ventas/2023/0002049</t>
  </si>
  <si>
    <t>FCC2300718</t>
  </si>
  <si>
    <t>0282L3W</t>
  </si>
  <si>
    <t>FCC2300720</t>
  </si>
  <si>
    <t>02300101</t>
  </si>
  <si>
    <t>FCC2300721</t>
  </si>
  <si>
    <t>230426</t>
  </si>
  <si>
    <t>FCC2300722</t>
  </si>
  <si>
    <t>23095</t>
  </si>
  <si>
    <t>FCC2300723</t>
  </si>
  <si>
    <t>TB-2023-F 32</t>
  </si>
  <si>
    <t>FCC2300728</t>
  </si>
  <si>
    <t>F23/1587</t>
  </si>
  <si>
    <t>FCC2300731</t>
  </si>
  <si>
    <t>09230728030004676</t>
  </si>
  <si>
    <t>FCC2300732</t>
  </si>
  <si>
    <t>09230728030002505</t>
  </si>
  <si>
    <t>FCC2300733</t>
  </si>
  <si>
    <t>21230728030010418</t>
  </si>
  <si>
    <t>FCC2300734</t>
  </si>
  <si>
    <t>21230728030010417</t>
  </si>
  <si>
    <t>FCC2300735</t>
  </si>
  <si>
    <t>21230728030010416</t>
  </si>
  <si>
    <t>FCC2300736</t>
  </si>
  <si>
    <t>21230728030018525</t>
  </si>
  <si>
    <t>FCC2300737</t>
  </si>
  <si>
    <t>21230728030017711</t>
  </si>
  <si>
    <t>FCC2300738</t>
  </si>
  <si>
    <t>21230728030010568</t>
  </si>
  <si>
    <t>FCC2300739</t>
  </si>
  <si>
    <t>21230728030003869</t>
  </si>
  <si>
    <t>FCC2300740</t>
  </si>
  <si>
    <t>21230728030000032</t>
  </si>
  <si>
    <t>FCC2300741</t>
  </si>
  <si>
    <t>21230728030008302</t>
  </si>
  <si>
    <t>FCC2300742</t>
  </si>
  <si>
    <t>21230728030000026</t>
  </si>
  <si>
    <t>FCC2300743</t>
  </si>
  <si>
    <t>21230728030000025</t>
  </si>
  <si>
    <t>FCC2300744</t>
  </si>
  <si>
    <t>21230728030000024</t>
  </si>
  <si>
    <t>FCC2300745</t>
  </si>
  <si>
    <t>230.783</t>
  </si>
  <si>
    <t>FCC2300746</t>
  </si>
  <si>
    <t>230.740</t>
  </si>
  <si>
    <t>FCC2300749</t>
  </si>
  <si>
    <t>F000003116</t>
  </si>
  <si>
    <t>FCC2300750</t>
  </si>
  <si>
    <t>F/20230384</t>
  </si>
  <si>
    <t>FCC2300751</t>
  </si>
  <si>
    <t>1 230755</t>
  </si>
  <si>
    <t>FCC2300752</t>
  </si>
  <si>
    <t>28-H3U1-082832</t>
  </si>
  <si>
    <t>FCC2300753</t>
  </si>
  <si>
    <t>TA74H0060134</t>
  </si>
  <si>
    <t>FCC2300756</t>
  </si>
  <si>
    <t>I-231575</t>
  </si>
  <si>
    <t>FCC2300758</t>
  </si>
  <si>
    <t>L23F920</t>
  </si>
  <si>
    <t>FCC2300760</t>
  </si>
  <si>
    <t>5851672902</t>
  </si>
  <si>
    <t>FCC2300761</t>
  </si>
  <si>
    <t>2023-B2B7-000243381</t>
  </si>
  <si>
    <t>FCC2300762</t>
  </si>
  <si>
    <t>SUFN/2301691</t>
  </si>
  <si>
    <t>FCC2300765</t>
  </si>
  <si>
    <t>23-S-3.556</t>
  </si>
  <si>
    <t>FCC2300766</t>
  </si>
  <si>
    <t>G2300546</t>
  </si>
  <si>
    <t>FCC2300771</t>
  </si>
  <si>
    <t>4779935254</t>
  </si>
  <si>
    <t>FCC2300773</t>
  </si>
  <si>
    <t>TB-2023-F 28</t>
  </si>
  <si>
    <t>FCC2300774</t>
  </si>
  <si>
    <t>2022/161</t>
  </si>
  <si>
    <t>FCC2300775</t>
  </si>
  <si>
    <t>GIP/20230337</t>
  </si>
  <si>
    <t>FCC2300783</t>
  </si>
  <si>
    <t>G2300595</t>
  </si>
  <si>
    <t>FCC2300785</t>
  </si>
  <si>
    <t>0289992023D0115538</t>
  </si>
  <si>
    <t>FCC2300787</t>
  </si>
  <si>
    <t>F23064</t>
  </si>
  <si>
    <t>FCC2300788</t>
  </si>
  <si>
    <t>TB-2023-F 27</t>
  </si>
  <si>
    <t>FCC2300789</t>
  </si>
  <si>
    <t>28-I3U1-046442</t>
  </si>
  <si>
    <t>FCC2300790</t>
  </si>
  <si>
    <t>TA74I0059816</t>
  </si>
  <si>
    <t>FCC2300792</t>
  </si>
  <si>
    <t>5324926</t>
  </si>
  <si>
    <t>FCC2300793</t>
  </si>
  <si>
    <t>5324927</t>
  </si>
  <si>
    <t>FCC2300794</t>
  </si>
  <si>
    <t>230.956</t>
  </si>
  <si>
    <t>FCC2300795</t>
  </si>
  <si>
    <t>230.901</t>
  </si>
  <si>
    <t>FCC2300796</t>
  </si>
  <si>
    <t>230.859</t>
  </si>
  <si>
    <t>FCC2300797</t>
  </si>
  <si>
    <t>GIP/20230369</t>
  </si>
  <si>
    <t>FCC2300798</t>
  </si>
  <si>
    <t>2.023/KMK/8</t>
  </si>
  <si>
    <t>FCC2300799</t>
  </si>
  <si>
    <t>028DHOY</t>
  </si>
  <si>
    <t>FCC2300803</t>
  </si>
  <si>
    <t>00001116</t>
  </si>
  <si>
    <t>FCC2300804</t>
  </si>
  <si>
    <t>00001115</t>
  </si>
  <si>
    <t>FCC2300805</t>
  </si>
  <si>
    <t>0000440</t>
  </si>
  <si>
    <t>FCC2300806</t>
  </si>
  <si>
    <t>0000441</t>
  </si>
  <si>
    <t>FCC2300807</t>
  </si>
  <si>
    <t>18693</t>
  </si>
  <si>
    <t>FCC2300808</t>
  </si>
  <si>
    <t>23-S-4.065</t>
  </si>
  <si>
    <t>FCC2300813</t>
  </si>
  <si>
    <t>4803400314</t>
  </si>
  <si>
    <t>FCC2300814</t>
  </si>
  <si>
    <t>2022/171</t>
  </si>
  <si>
    <t>FCC2300815</t>
  </si>
  <si>
    <t>TB-2023-F 31</t>
  </si>
  <si>
    <t>FCC2300820</t>
  </si>
  <si>
    <t>09230830030002629</t>
  </si>
  <si>
    <t>FCC2300821</t>
  </si>
  <si>
    <t>09230830030004934</t>
  </si>
  <si>
    <t>FCC2300822</t>
  </si>
  <si>
    <t>21230830030010052</t>
  </si>
  <si>
    <t>FCC2300823</t>
  </si>
  <si>
    <t>21230830030010051</t>
  </si>
  <si>
    <t>FCC2300824</t>
  </si>
  <si>
    <t>21230830030010050</t>
  </si>
  <si>
    <t>FCC2300825</t>
  </si>
  <si>
    <t>21230830030018049</t>
  </si>
  <si>
    <t>FCC2300826</t>
  </si>
  <si>
    <t>21230830030017181</t>
  </si>
  <si>
    <t>FCC2300827</t>
  </si>
  <si>
    <t>21230830030010208</t>
  </si>
  <si>
    <t>FCC2300828</t>
  </si>
  <si>
    <t>21230830030003428</t>
  </si>
  <si>
    <t>FCC2300829</t>
  </si>
  <si>
    <t>21230830030007946</t>
  </si>
  <si>
    <t>FCC2300830</t>
  </si>
  <si>
    <t>21230830030000032</t>
  </si>
  <si>
    <t>FCC2300831</t>
  </si>
  <si>
    <t>21230830030000026</t>
  </si>
  <si>
    <t>FCC2300832</t>
  </si>
  <si>
    <t>21230830030000025</t>
  </si>
  <si>
    <t>FCC2300833</t>
  </si>
  <si>
    <t>21230830030000024</t>
  </si>
  <si>
    <t>FCC2300834</t>
  </si>
  <si>
    <t>E084</t>
  </si>
  <si>
    <t>FCC2300835</t>
  </si>
  <si>
    <t>17</t>
  </si>
  <si>
    <t>FCC2300837</t>
  </si>
  <si>
    <t>FBADS-700-102733156</t>
  </si>
  <si>
    <t>FCC2300838</t>
  </si>
  <si>
    <t>FBADS-700-102739390</t>
  </si>
  <si>
    <t>FCC2300839</t>
  </si>
  <si>
    <t>FBADS-700-102749426</t>
  </si>
  <si>
    <t>FCC2300840</t>
  </si>
  <si>
    <t>FBADS-700-102760062</t>
  </si>
  <si>
    <t>FCC2300841</t>
  </si>
  <si>
    <t>FBADS-700-102773118</t>
  </si>
  <si>
    <t>FCC2300842</t>
  </si>
  <si>
    <t>FBADS-700-102707972</t>
  </si>
  <si>
    <t>FCC2300843</t>
  </si>
  <si>
    <t>FBADS-700-102708098</t>
  </si>
  <si>
    <t>FCC2300844</t>
  </si>
  <si>
    <t>FBADS-700-102718312</t>
  </si>
  <si>
    <t>FCC2300845</t>
  </si>
  <si>
    <t>FBADS-700-102708942</t>
  </si>
  <si>
    <t>FCC2300846</t>
  </si>
  <si>
    <t>00052</t>
  </si>
  <si>
    <t>FCC2300848</t>
  </si>
  <si>
    <t>63/2023</t>
  </si>
  <si>
    <t>FCC2300849</t>
  </si>
  <si>
    <t>V20231034</t>
  </si>
  <si>
    <t>FCC2300850</t>
  </si>
  <si>
    <t>V20231035</t>
  </si>
  <si>
    <t>FCC2300851</t>
  </si>
  <si>
    <t>V20231030</t>
  </si>
  <si>
    <t>FCC2300852</t>
  </si>
  <si>
    <t>V20231031</t>
  </si>
  <si>
    <t>FCC2300853</t>
  </si>
  <si>
    <t>V20231028</t>
  </si>
  <si>
    <t>FCC2300854</t>
  </si>
  <si>
    <t>V20231029</t>
  </si>
  <si>
    <t>FCC2300855</t>
  </si>
  <si>
    <t>V20231032</t>
  </si>
  <si>
    <t>FCC2300856</t>
  </si>
  <si>
    <t>V20231033</t>
  </si>
  <si>
    <t>FCC2300857</t>
  </si>
  <si>
    <t>FCC2300858</t>
  </si>
  <si>
    <t>FCC2300859</t>
  </si>
  <si>
    <t>TB-2023-F 33</t>
  </si>
  <si>
    <t>FCC2300860</t>
  </si>
  <si>
    <t>TB-2023-F 34</t>
  </si>
  <si>
    <t>FCC2300861</t>
  </si>
  <si>
    <t>TB-2023-F 35</t>
  </si>
  <si>
    <t>FCC2300862</t>
  </si>
  <si>
    <t>TB-2023-F 36</t>
  </si>
  <si>
    <t>FCC2300863</t>
  </si>
  <si>
    <t>2023/264</t>
  </si>
  <si>
    <t>FCC2300868</t>
  </si>
  <si>
    <t>GTS VIAJE JOXELU JUL-AG</t>
  </si>
  <si>
    <t>FCC2300876</t>
  </si>
  <si>
    <t>FBADS-700-102708500</t>
  </si>
  <si>
    <t>FCC2300877</t>
  </si>
  <si>
    <t>FBADS-700-102708717</t>
  </si>
  <si>
    <t>FCC2300878</t>
  </si>
  <si>
    <t>FBADS-700-102708607</t>
  </si>
  <si>
    <t>FCC2300879</t>
  </si>
  <si>
    <t>FBADS-700-102708289</t>
  </si>
  <si>
    <t>FCC2300880</t>
  </si>
  <si>
    <t>FBADS-700-102708802</t>
  </si>
  <si>
    <t>FCC2300884</t>
  </si>
  <si>
    <t>E0300P39DY</t>
  </si>
  <si>
    <t>FCC2300885</t>
  </si>
  <si>
    <t>E0300OOFS9</t>
  </si>
  <si>
    <t>FCC2300886</t>
  </si>
  <si>
    <t>E0300OOD0Q</t>
  </si>
  <si>
    <t>FCC2300887</t>
  </si>
  <si>
    <t>E0300P339I</t>
  </si>
  <si>
    <t>FCC2300888</t>
  </si>
  <si>
    <t>5326260</t>
  </si>
  <si>
    <t>FCC2300889</t>
  </si>
  <si>
    <t>FSBR23-00415</t>
  </si>
  <si>
    <t>FCC2300890</t>
  </si>
  <si>
    <t>202305243</t>
  </si>
  <si>
    <t>FCC2300892</t>
  </si>
  <si>
    <t>TB-2023-F 39</t>
  </si>
  <si>
    <t>FCC2300897</t>
  </si>
  <si>
    <t>52305752</t>
  </si>
  <si>
    <t>FCC2300898</t>
  </si>
  <si>
    <t>23000489</t>
  </si>
  <si>
    <t>FCC2300899</t>
  </si>
  <si>
    <t>028OCMC</t>
  </si>
  <si>
    <t>FCC2300705</t>
  </si>
  <si>
    <t>12023/245600</t>
  </si>
  <si>
    <t>FCC2300891</t>
  </si>
  <si>
    <t>2300021834</t>
  </si>
  <si>
    <t>FCC2300903</t>
  </si>
  <si>
    <t>000179</t>
  </si>
  <si>
    <t>FCC2300883</t>
  </si>
  <si>
    <t>CONTRATO 1594</t>
  </si>
  <si>
    <t>FCC2300902</t>
  </si>
  <si>
    <t>23212/C</t>
  </si>
  <si>
    <t>FCC2300917</t>
  </si>
  <si>
    <t>2023/1.424</t>
  </si>
  <si>
    <t>FCC2300925</t>
  </si>
  <si>
    <t>4308682</t>
  </si>
  <si>
    <t>FCC2300900</t>
  </si>
  <si>
    <t>FS2/2023/00020861</t>
  </si>
  <si>
    <t>FCC2300901</t>
  </si>
  <si>
    <t>FS2/2023/00020373</t>
  </si>
  <si>
    <t>FCC2300904</t>
  </si>
  <si>
    <t>AA23002149</t>
  </si>
  <si>
    <t>FCC2300909</t>
  </si>
  <si>
    <t>7250201291</t>
  </si>
  <si>
    <t>FCC2300916</t>
  </si>
  <si>
    <t>7250201290</t>
  </si>
  <si>
    <t>FCC2300836</t>
  </si>
  <si>
    <t>0289992023D0195664</t>
  </si>
  <si>
    <t>FCC2300864</t>
  </si>
  <si>
    <t>FV23 004217</t>
  </si>
  <si>
    <t>FCC2300867</t>
  </si>
  <si>
    <t>F23/1808</t>
  </si>
  <si>
    <t>FCC2300874</t>
  </si>
  <si>
    <t>FV23-00372</t>
  </si>
  <si>
    <t>FCC2300907</t>
  </si>
  <si>
    <t>00003916</t>
  </si>
  <si>
    <t>FCC2300908</t>
  </si>
  <si>
    <t>00003935</t>
  </si>
  <si>
    <t>FCC2300910</t>
  </si>
  <si>
    <t>231.043</t>
  </si>
  <si>
    <t>FCC2300911</t>
  </si>
  <si>
    <t>231.020</t>
  </si>
  <si>
    <t>FCC2300912</t>
  </si>
  <si>
    <t>230.977</t>
  </si>
  <si>
    <t>FCC2300913</t>
  </si>
  <si>
    <t>S 2023101</t>
  </si>
  <si>
    <t>FCC2300914</t>
  </si>
  <si>
    <t>S 2023100</t>
  </si>
  <si>
    <t>FCC2300915</t>
  </si>
  <si>
    <t>BCVW/17391</t>
  </si>
  <si>
    <t>FCC2300919</t>
  </si>
  <si>
    <t>A 00230867</t>
  </si>
  <si>
    <t>FCC2300920</t>
  </si>
  <si>
    <t>23-S-4.606</t>
  </si>
  <si>
    <t>FCC2300921</t>
  </si>
  <si>
    <t>A 00230923</t>
  </si>
  <si>
    <t>FCC2300922</t>
  </si>
  <si>
    <t>21230928030000024</t>
  </si>
  <si>
    <t>FCC2300923</t>
  </si>
  <si>
    <t>21230928030000025</t>
  </si>
  <si>
    <t>FCC2300926</t>
  </si>
  <si>
    <t>FCC2300927</t>
  </si>
  <si>
    <t>21230928030008226</t>
  </si>
  <si>
    <t>FCC2300928</t>
  </si>
  <si>
    <t>09230928030004780</t>
  </si>
  <si>
    <t>FCC2300929</t>
  </si>
  <si>
    <t>09230928030002486</t>
  </si>
  <si>
    <t>FCC2300930</t>
  </si>
  <si>
    <t>21230928030000032</t>
  </si>
  <si>
    <t>FCC2300931</t>
  </si>
  <si>
    <t>21230928030000026</t>
  </si>
  <si>
    <t>FCC2300932</t>
  </si>
  <si>
    <t>21230928030018521</t>
  </si>
  <si>
    <t>FCC2300933</t>
  </si>
  <si>
    <t>21230928030017670</t>
  </si>
  <si>
    <t>FCC2300934</t>
  </si>
  <si>
    <t>21230928030010647</t>
  </si>
  <si>
    <t>FCC2300935</t>
  </si>
  <si>
    <t>21230928030003805</t>
  </si>
  <si>
    <t>FCC2300936</t>
  </si>
  <si>
    <t>21230928030010504</t>
  </si>
  <si>
    <t>FCC2300937</t>
  </si>
  <si>
    <t>21230928030010503</t>
  </si>
  <si>
    <t>FCC2300938</t>
  </si>
  <si>
    <t>21230928030010502</t>
  </si>
  <si>
    <t>FCC2300939</t>
  </si>
  <si>
    <t>202305284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</si>
</sst>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2"/>
        <bgColor indexed="9"/>
      </patternFill>
    </fill>
  </fills>
  <borders count="6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6" fillId="7" borderId="20" xfId="0" applyNumberFormat="1" applyFont="1" applyFill="1" applyBorder="1"/>
    <xf numFmtId="4" fontId="6" fillId="7" borderId="21" xfId="0" applyNumberFormat="1" applyFont="1" applyFill="1" applyBorder="1"/>
    <xf numFmtId="3" fontId="6" fillId="7" borderId="22" xfId="0" applyNumberFormat="1" applyFont="1" applyFill="1" applyBorder="1"/>
    <xf numFmtId="4" fontId="6" fillId="7" borderId="23" xfId="0" applyNumberFormat="1" applyFont="1" applyFill="1" applyBorder="1"/>
    <xf numFmtId="3" fontId="6" fillId="7" borderId="23" xfId="0" applyNumberFormat="1" applyFont="1" applyFill="1" applyBorder="1"/>
    <xf numFmtId="3" fontId="6" fillId="7" borderId="24" xfId="0" applyNumberFormat="1" applyFont="1" applyFill="1" applyBorder="1"/>
    <xf numFmtId="4" fontId="6" fillId="7" borderId="25" xfId="0" applyNumberFormat="1" applyFont="1" applyFill="1" applyBorder="1"/>
    <xf numFmtId="4" fontId="6" fillId="7" borderId="26" xfId="0" applyNumberFormat="1" applyFont="1" applyFill="1" applyBorder="1"/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4" fontId="4" fillId="0" borderId="29" xfId="0" applyNumberFormat="1" applyFont="1" applyBorder="1"/>
    <xf numFmtId="4" fontId="6" fillId="7" borderId="22" xfId="0" applyNumberFormat="1" applyFont="1" applyFill="1" applyBorder="1"/>
    <xf numFmtId="4" fontId="6" fillId="7" borderId="30" xfId="0" applyNumberFormat="1" applyFont="1" applyFill="1" applyBorder="1"/>
    <xf numFmtId="2" fontId="4" fillId="0" borderId="29" xfId="0" applyNumberFormat="1" applyFont="1" applyBorder="1"/>
    <xf numFmtId="2" fontId="6" fillId="7" borderId="23" xfId="0" applyNumberFormat="1" applyFont="1" applyFill="1" applyBorder="1"/>
    <xf numFmtId="2" fontId="6" fillId="7" borderId="30" xfId="0" applyNumberFormat="1" applyFont="1" applyFill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31" xfId="0" applyNumberFormat="1" applyFont="1" applyBorder="1"/>
    <xf numFmtId="3" fontId="4" fillId="0" borderId="32" xfId="0" applyNumberFormat="1" applyFont="1" applyBorder="1"/>
    <xf numFmtId="4" fontId="6" fillId="7" borderId="29" xfId="0" applyNumberFormat="1" applyFont="1" applyFill="1" applyBorder="1"/>
    <xf numFmtId="0" fontId="4" fillId="0" borderId="33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9" borderId="32" xfId="0" applyNumberFormat="1" applyFont="1" applyFill="1" applyBorder="1"/>
    <xf numFmtId="4" fontId="4" fillId="9" borderId="34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29" xfId="0" applyNumberFormat="1" applyFont="1" applyFill="1" applyBorder="1"/>
    <xf numFmtId="0" fontId="4" fillId="0" borderId="35" xfId="0" applyFont="1" applyBorder="1"/>
    <xf numFmtId="0" fontId="4" fillId="0" borderId="36" xfId="0" applyFont="1" applyBorder="1"/>
    <xf numFmtId="4" fontId="17" fillId="0" borderId="0" xfId="0" applyNumberFormat="1" applyFont="1"/>
    <xf numFmtId="0" fontId="17" fillId="0" borderId="0" xfId="0" applyFont="1"/>
    <xf numFmtId="2" fontId="18" fillId="0" borderId="0" xfId="0" applyNumberFormat="1" applyFont="1"/>
    <xf numFmtId="0" fontId="4" fillId="0" borderId="37" xfId="0" applyFont="1" applyBorder="1"/>
    <xf numFmtId="14" fontId="4" fillId="10" borderId="0" xfId="0" applyNumberFormat="1" applyFont="1" applyFill="1"/>
    <xf numFmtId="49" fontId="19" fillId="0" borderId="0" xfId="1" applyNumberFormat="1"/>
    <xf numFmtId="14" fontId="19" fillId="0" borderId="0" xfId="1" applyNumberFormat="1"/>
    <xf numFmtId="4" fontId="19" fillId="0" borderId="0" xfId="1" applyNumberFormat="1"/>
    <xf numFmtId="164" fontId="20" fillId="0" borderId="0" xfId="0" applyNumberFormat="1" applyFont="1"/>
    <xf numFmtId="2" fontId="21" fillId="0" borderId="0" xfId="0" applyNumberFormat="1" applyFont="1"/>
    <xf numFmtId="0" fontId="19" fillId="0" borderId="0" xfId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65" xfId="0" applyNumberFormat="1" applyFont="1" applyBorder="1"/>
    <xf numFmtId="0" fontId="6" fillId="6" borderId="2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4" fillId="9" borderId="56" xfId="0" applyFont="1" applyFill="1" applyBorder="1" applyAlignment="1">
      <alignment horizontal="left" vertical="top" wrapText="1"/>
    </xf>
    <xf numFmtId="0" fontId="4" fillId="9" borderId="57" xfId="0" applyFont="1" applyFill="1" applyBorder="1" applyAlignment="1">
      <alignment horizontal="left" vertical="top" wrapText="1"/>
    </xf>
    <xf numFmtId="0" fontId="6" fillId="12" borderId="58" xfId="0" applyFont="1" applyFill="1" applyBorder="1" applyAlignment="1">
      <alignment horizontal="right"/>
    </xf>
    <xf numFmtId="0" fontId="6" fillId="12" borderId="59" xfId="0" applyFont="1" applyFill="1" applyBorder="1" applyAlignment="1">
      <alignment horizontal="right"/>
    </xf>
    <xf numFmtId="0" fontId="6" fillId="12" borderId="60" xfId="0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1" xfId="0" applyFont="1" applyBorder="1"/>
    <xf numFmtId="0" fontId="4" fillId="0" borderId="43" xfId="0" applyFont="1" applyBorder="1"/>
    <xf numFmtId="0" fontId="6" fillId="6" borderId="61" xfId="0" applyFont="1" applyFill="1" applyBorder="1" applyAlignment="1">
      <alignment horizontal="center" wrapText="1"/>
    </xf>
    <xf numFmtId="0" fontId="4" fillId="0" borderId="62" xfId="0" applyFont="1" applyBorder="1"/>
    <xf numFmtId="0" fontId="4" fillId="0" borderId="5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6" fillId="6" borderId="64" xfId="0" applyFont="1" applyFill="1" applyBorder="1" applyAlignment="1">
      <alignment horizontal="center" wrapText="1"/>
    </xf>
    <xf numFmtId="0" fontId="6" fillId="6" borderId="49" xfId="0" applyFont="1" applyFill="1" applyBorder="1" applyAlignment="1">
      <alignment horizontal="center" wrapText="1"/>
    </xf>
    <xf numFmtId="0" fontId="4" fillId="0" borderId="0" xfId="0" applyFont="1"/>
    <xf numFmtId="0" fontId="4" fillId="0" borderId="46" xfId="0" applyFont="1" applyBorder="1"/>
    <xf numFmtId="49" fontId="4" fillId="0" borderId="0" xfId="0" applyNumberFormat="1" applyFont="1" applyAlignment="1">
      <alignment horizontal="left"/>
    </xf>
    <xf numFmtId="49" fontId="4" fillId="0" borderId="46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50" xfId="0" applyFont="1" applyBorder="1"/>
    <xf numFmtId="0" fontId="6" fillId="12" borderId="55" xfId="0" applyFont="1" applyFill="1" applyBorder="1" applyAlignment="1">
      <alignment horizontal="right"/>
    </xf>
    <xf numFmtId="0" fontId="6" fillId="12" borderId="23" xfId="0" applyFont="1" applyFill="1" applyBorder="1" applyAlignment="1">
      <alignment horizontal="right"/>
    </xf>
    <xf numFmtId="0" fontId="6" fillId="12" borderId="21" xfId="0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33" xfId="0" applyFont="1" applyFill="1" applyBorder="1"/>
    <xf numFmtId="0" fontId="6" fillId="7" borderId="0" xfId="0" applyFont="1" applyFill="1"/>
    <xf numFmtId="0" fontId="6" fillId="7" borderId="47" xfId="0" applyFont="1" applyFill="1" applyBorder="1" applyAlignment="1">
      <alignment horizontal="right"/>
    </xf>
    <xf numFmtId="0" fontId="6" fillId="7" borderId="48" xfId="0" applyFont="1" applyFill="1" applyBorder="1" applyAlignment="1">
      <alignment horizontal="right"/>
    </xf>
    <xf numFmtId="0" fontId="4" fillId="0" borderId="39" xfId="0" applyFont="1" applyBorder="1"/>
    <xf numFmtId="0" fontId="4" fillId="0" borderId="54" xfId="0" applyFont="1" applyBorder="1"/>
    <xf numFmtId="0" fontId="6" fillId="12" borderId="51" xfId="0" applyFont="1" applyFill="1" applyBorder="1" applyAlignment="1">
      <alignment horizontal="right"/>
    </xf>
    <xf numFmtId="0" fontId="6" fillId="12" borderId="52" xfId="0" applyFont="1" applyFill="1" applyBorder="1" applyAlignment="1">
      <alignment horizontal="right"/>
    </xf>
    <xf numFmtId="0" fontId="6" fillId="12" borderId="53" xfId="0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/>
    </xf>
    <xf numFmtId="0" fontId="6" fillId="6" borderId="4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3" fillId="11" borderId="38" xfId="0" applyFont="1" applyFill="1" applyBorder="1" applyAlignment="1">
      <alignment horizontal="center"/>
    </xf>
    <xf numFmtId="0" fontId="13" fillId="11" borderId="39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4" fillId="6" borderId="0" xfId="0" applyFont="1" applyFill="1"/>
    <xf numFmtId="164" fontId="4" fillId="0" borderId="0" xfId="0" applyNumberFormat="1" applyFont="1" applyAlignment="1">
      <alignment horizontal="center"/>
    </xf>
    <xf numFmtId="4" fontId="0" fillId="0" borderId="66" xfId="0" applyNumberFormat="1" applyBorder="1"/>
    <xf numFmtId="4" fontId="4" fillId="0" borderId="66" xfId="0" applyNumberFormat="1" applyFont="1" applyBorder="1"/>
    <xf numFmtId="0" fontId="4" fillId="0" borderId="66" xfId="0" applyFont="1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C4531148-AF28-4F54-BF82-8E0ED3851AB4}"/>
    <cellStyle name="Normala 4" xfId="4" xr:uid="{4290611D-8064-44BC-A646-06D06D6E7919}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ontabilidad/Contabilidad/BERANKORTASUNA/2022/OARSOALDEA/2go%20HIRUHILEKOA/BERANKORTASUNA%203go%20HIRUHILEKOA%20OARS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XCEL\Contabilidad\Contabilidad\BERANKORTASUNA\2023\OARSOALDEA\3go%20HIRUHILEKOA\BERANKORTASUNA%203go%20HIRUHILEKOA.xlsx" TargetMode="External"/><Relationship Id="rId1" Type="http://schemas.openxmlformats.org/officeDocument/2006/relationships/externalLinkPath" Target="BERANKORTASUNA%203go%20HIRUHILEK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OSTENA"/>
      <sheetName val="xehet1"/>
      <sheetName val="xehet2"/>
      <sheetName val="xehet32"/>
    </sheetNames>
    <sheetDataSet>
      <sheetData sheetId="0" refreshError="1"/>
      <sheetData sheetId="1" refreshError="1"/>
      <sheetData sheetId="2" refreshError="1">
        <row r="8">
          <cell r="D8" t="str">
            <v>Zenbatekoa</v>
          </cell>
          <cell r="T8" t="str">
            <v>ponderazioa 1</v>
          </cell>
          <cell r="V8" t="str">
            <v>Epean</v>
          </cell>
        </row>
        <row r="9">
          <cell r="D9">
            <v>18150</v>
          </cell>
          <cell r="T9">
            <v>0</v>
          </cell>
          <cell r="V9">
            <v>129</v>
          </cell>
        </row>
        <row r="10">
          <cell r="D10">
            <v>677.6</v>
          </cell>
          <cell r="T10">
            <v>0</v>
          </cell>
          <cell r="V10">
            <v>121</v>
          </cell>
        </row>
        <row r="11">
          <cell r="D11">
            <v>5</v>
          </cell>
          <cell r="T11">
            <v>0</v>
          </cell>
          <cell r="V11">
            <v>121</v>
          </cell>
        </row>
        <row r="12">
          <cell r="D12">
            <v>214.9</v>
          </cell>
          <cell r="T12">
            <v>0</v>
          </cell>
          <cell r="V12">
            <v>121</v>
          </cell>
        </row>
        <row r="13">
          <cell r="D13">
            <v>290.39999999999998</v>
          </cell>
          <cell r="T13">
            <v>0</v>
          </cell>
          <cell r="V13">
            <v>121</v>
          </cell>
        </row>
        <row r="14">
          <cell r="D14">
            <v>507.23</v>
          </cell>
          <cell r="T14">
            <v>0</v>
          </cell>
          <cell r="V14">
            <v>129</v>
          </cell>
        </row>
        <row r="15">
          <cell r="D15">
            <v>98.02</v>
          </cell>
          <cell r="T15">
            <v>0</v>
          </cell>
          <cell r="V15">
            <v>121</v>
          </cell>
        </row>
        <row r="16">
          <cell r="D16">
            <v>6</v>
          </cell>
          <cell r="T16">
            <v>0</v>
          </cell>
          <cell r="V16">
            <v>121</v>
          </cell>
        </row>
        <row r="17">
          <cell r="D17">
            <v>18.07</v>
          </cell>
          <cell r="T17">
            <v>0</v>
          </cell>
          <cell r="V17">
            <v>129</v>
          </cell>
        </row>
        <row r="18">
          <cell r="D18">
            <v>337.03</v>
          </cell>
          <cell r="T18">
            <v>0</v>
          </cell>
          <cell r="V18">
            <v>129</v>
          </cell>
        </row>
        <row r="19">
          <cell r="D19">
            <v>316.45999999999998</v>
          </cell>
          <cell r="T19">
            <v>0</v>
          </cell>
          <cell r="V19">
            <v>129</v>
          </cell>
        </row>
        <row r="20">
          <cell r="D20">
            <v>490.85</v>
          </cell>
          <cell r="T20">
            <v>0</v>
          </cell>
          <cell r="V20">
            <v>129</v>
          </cell>
        </row>
        <row r="21">
          <cell r="D21">
            <v>25.81</v>
          </cell>
          <cell r="T21">
            <v>0</v>
          </cell>
          <cell r="V21">
            <v>129</v>
          </cell>
        </row>
        <row r="22">
          <cell r="D22">
            <v>32.56</v>
          </cell>
          <cell r="T22">
            <v>0</v>
          </cell>
          <cell r="V22">
            <v>129</v>
          </cell>
        </row>
        <row r="23">
          <cell r="D23">
            <v>709.04</v>
          </cell>
          <cell r="T23">
            <v>0</v>
          </cell>
          <cell r="V23">
            <v>129</v>
          </cell>
        </row>
        <row r="24">
          <cell r="D24">
            <v>17.93</v>
          </cell>
          <cell r="T24">
            <v>0</v>
          </cell>
          <cell r="V24">
            <v>129</v>
          </cell>
        </row>
        <row r="25">
          <cell r="D25">
            <v>16.2</v>
          </cell>
          <cell r="T25">
            <v>0</v>
          </cell>
          <cell r="V25">
            <v>129</v>
          </cell>
        </row>
        <row r="26">
          <cell r="D26">
            <v>18.13</v>
          </cell>
          <cell r="T26">
            <v>0</v>
          </cell>
          <cell r="V26">
            <v>129</v>
          </cell>
        </row>
        <row r="27">
          <cell r="D27">
            <v>32.799999999999997</v>
          </cell>
          <cell r="T27">
            <v>0</v>
          </cell>
          <cell r="V27">
            <v>129</v>
          </cell>
        </row>
        <row r="28">
          <cell r="D28">
            <v>234.86</v>
          </cell>
          <cell r="T28">
            <v>0</v>
          </cell>
          <cell r="V28">
            <v>129</v>
          </cell>
        </row>
        <row r="29">
          <cell r="D29">
            <v>10.8</v>
          </cell>
          <cell r="T29">
            <v>0</v>
          </cell>
          <cell r="V29">
            <v>129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XOSTENA"/>
      <sheetName val="xehet1"/>
      <sheetName val="xehet2"/>
      <sheetName val="xehet32"/>
    </sheetNames>
    <sheetDataSet>
      <sheetData sheetId="0"/>
      <sheetData sheetId="1">
        <row r="205">
          <cell r="D205">
            <v>10157.499999999998</v>
          </cell>
          <cell r="F205">
            <v>16</v>
          </cell>
        </row>
        <row r="206">
          <cell r="D206">
            <v>10265.049999999997</v>
          </cell>
          <cell r="F206">
            <v>23</v>
          </cell>
        </row>
        <row r="207">
          <cell r="D207">
            <v>18544.850000000002</v>
          </cell>
          <cell r="F207">
            <v>18</v>
          </cell>
        </row>
        <row r="208">
          <cell r="D208">
            <v>136182.13999999996</v>
          </cell>
          <cell r="F208">
            <v>136</v>
          </cell>
        </row>
        <row r="209">
          <cell r="D209">
            <v>8487.4399999999987</v>
          </cell>
          <cell r="F209">
            <v>3</v>
          </cell>
        </row>
      </sheetData>
      <sheetData sheetId="2">
        <row r="53">
          <cell r="D53">
            <v>1409.99</v>
          </cell>
          <cell r="F53">
            <v>4</v>
          </cell>
        </row>
        <row r="54">
          <cell r="D54">
            <v>1191.73</v>
          </cell>
          <cell r="F54">
            <v>5</v>
          </cell>
        </row>
        <row r="55">
          <cell r="D55">
            <v>15438.939999999997</v>
          </cell>
          <cell r="F55">
            <v>31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73" zoomScaleNormal="100" workbookViewId="0">
      <selection activeCell="F49" sqref="F49:G53"/>
    </sheetView>
  </sheetViews>
  <sheetFormatPr defaultRowHeight="12.75" customHeight="1" x14ac:dyDescent="0.2"/>
  <cols>
    <col min="1" max="1" width="3.140625" style="2" customWidth="1"/>
    <col min="2" max="2" width="4.42578125" style="2" bestFit="1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76"/>
      <c r="B1" s="176"/>
    </row>
    <row r="2" spans="1:9" s="39" customFormat="1" ht="15.75" customHeight="1" x14ac:dyDescent="0.25">
      <c r="A2" s="177" t="s">
        <v>11</v>
      </c>
      <c r="B2" s="178"/>
      <c r="C2" s="178"/>
      <c r="D2" s="178"/>
      <c r="E2" s="178"/>
      <c r="F2" s="178"/>
      <c r="G2" s="178"/>
      <c r="H2" s="178"/>
      <c r="I2" s="179"/>
    </row>
    <row r="3" spans="1:9" s="39" customFormat="1" ht="15.75" customHeight="1" x14ac:dyDescent="0.25">
      <c r="A3" s="40"/>
      <c r="B3" s="41"/>
      <c r="C3" s="42" t="s">
        <v>12</v>
      </c>
      <c r="D3" s="180" t="s">
        <v>91</v>
      </c>
      <c r="E3" s="180"/>
      <c r="F3" s="180"/>
      <c r="G3" s="180"/>
      <c r="H3" s="41"/>
      <c r="I3" s="43"/>
    </row>
    <row r="4" spans="1:9" s="39" customFormat="1" ht="15.75" customHeight="1" x14ac:dyDescent="0.25">
      <c r="A4" s="40"/>
      <c r="B4" s="41"/>
      <c r="C4" s="44" t="s">
        <v>13</v>
      </c>
      <c r="D4" s="45">
        <v>2023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14</v>
      </c>
      <c r="D5" s="50">
        <v>3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67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15</v>
      </c>
    </row>
    <row r="13" spans="1:9" ht="12.75" customHeight="1" x14ac:dyDescent="0.2">
      <c r="A13" s="149" t="s">
        <v>17</v>
      </c>
      <c r="B13" s="150"/>
      <c r="C13" s="164"/>
      <c r="D13" s="166" t="s">
        <v>18</v>
      </c>
      <c r="E13" s="167"/>
      <c r="F13" s="168" t="s">
        <v>23</v>
      </c>
      <c r="G13" s="169"/>
      <c r="H13" s="169"/>
      <c r="I13" s="170"/>
    </row>
    <row r="14" spans="1:9" ht="12.75" customHeight="1" x14ac:dyDescent="0.2">
      <c r="A14" s="152"/>
      <c r="B14" s="153"/>
      <c r="C14" s="165"/>
      <c r="D14" s="171" t="s">
        <v>19</v>
      </c>
      <c r="E14" s="172"/>
      <c r="F14" s="173" t="s">
        <v>21</v>
      </c>
      <c r="G14" s="174"/>
      <c r="H14" s="174" t="s">
        <v>22</v>
      </c>
      <c r="I14" s="175"/>
    </row>
    <row r="15" spans="1:9" ht="22.5" x14ac:dyDescent="0.2">
      <c r="A15" s="152"/>
      <c r="B15" s="153"/>
      <c r="C15" s="165"/>
      <c r="D15" s="57" t="s">
        <v>20</v>
      </c>
      <c r="E15" s="23" t="s">
        <v>60</v>
      </c>
      <c r="F15" s="54" t="s">
        <v>24</v>
      </c>
      <c r="G15" s="22" t="s">
        <v>25</v>
      </c>
      <c r="H15" s="22" t="s">
        <v>24</v>
      </c>
      <c r="I15" s="67" t="s">
        <v>25</v>
      </c>
    </row>
    <row r="16" spans="1:9" ht="12.75" customHeight="1" x14ac:dyDescent="0.2">
      <c r="A16" s="155" t="s">
        <v>35</v>
      </c>
      <c r="B16" s="156"/>
      <c r="C16" s="156"/>
      <c r="D16" s="58"/>
      <c r="E16" s="59">
        <f>IF(I16=0,0,(E17*I17+E18*I18+E19*I19+E20*I20+E21*I21)/I16)</f>
        <v>0</v>
      </c>
      <c r="F16" s="55">
        <f>SUM(F17:F21)</f>
        <v>193</v>
      </c>
      <c r="G16" s="24">
        <f>SUM(G17:G21)</f>
        <v>175149.53999999995</v>
      </c>
      <c r="H16" s="25">
        <f>SUM(H17:H21)</f>
        <v>0</v>
      </c>
      <c r="I16" s="88">
        <f>SUM(I17:I21)</f>
        <v>0</v>
      </c>
    </row>
    <row r="17" spans="1:9" ht="12.75" customHeight="1" x14ac:dyDescent="0.2">
      <c r="A17" s="89"/>
      <c r="B17" s="90" t="s">
        <v>0</v>
      </c>
      <c r="C17" s="2" t="s">
        <v>26</v>
      </c>
      <c r="D17" s="60"/>
      <c r="E17" s="35">
        <f>IF(H17=0,0,SUMIF(detalle1!V:V,220,detalle1!T:T)/SUMIF(detalle1!V:V,220,detalle1!D:D))</f>
        <v>0</v>
      </c>
      <c r="F17" s="36">
        <f>+[2]xehet1!F205</f>
        <v>16</v>
      </c>
      <c r="G17" s="116">
        <f>+[2]xehet1!D205</f>
        <v>10157.499999999998</v>
      </c>
      <c r="H17" s="27">
        <f>COUNTIF(detalle1!V:V,220)</f>
        <v>0</v>
      </c>
      <c r="I17" s="78">
        <f>SUMIF(detalle1!V:V,220,detalle1!D:D)</f>
        <v>0</v>
      </c>
    </row>
    <row r="18" spans="1:9" ht="12.75" customHeight="1" x14ac:dyDescent="0.2">
      <c r="A18" s="89"/>
      <c r="B18" s="90" t="s">
        <v>1</v>
      </c>
      <c r="C18" s="2" t="s">
        <v>27</v>
      </c>
      <c r="D18" s="60"/>
      <c r="E18" s="35">
        <f>IF(H18=0,0,SUMIF(detalle1!V:V,221,detalle1!T:T)/SUMIF(detalle1!V:V,221,detalle1!D:D))</f>
        <v>0</v>
      </c>
      <c r="F18" s="36">
        <f>+[2]xehet1!F206</f>
        <v>23</v>
      </c>
      <c r="G18" s="117">
        <f>+[2]xehet1!D206</f>
        <v>10265.049999999997</v>
      </c>
      <c r="H18" s="27">
        <f>COUNTIF(detalle1!V:V,221)</f>
        <v>0</v>
      </c>
      <c r="I18" s="78">
        <f>SUMIF(detalle1!V:V,221,detalle1!D:D)</f>
        <v>0</v>
      </c>
    </row>
    <row r="19" spans="1:9" ht="12.75" customHeight="1" x14ac:dyDescent="0.2">
      <c r="A19" s="89"/>
      <c r="B19" s="90" t="s">
        <v>2</v>
      </c>
      <c r="C19" s="2" t="s">
        <v>28</v>
      </c>
      <c r="D19" s="60"/>
      <c r="E19" s="35">
        <f>IF(H19=0,0,SUMIF(detalle1!V:V,222,detalle1!T:T)/SUMIF(detalle1!V:V,222,detalle1!D:D))</f>
        <v>0</v>
      </c>
      <c r="F19" s="36">
        <f>+[2]xehet1!F207</f>
        <v>18</v>
      </c>
      <c r="G19" s="26">
        <f>+[2]xehet1!D207</f>
        <v>18544.850000000002</v>
      </c>
      <c r="H19" s="27">
        <f>COUNTIF(detalle1!V:V,222)</f>
        <v>0</v>
      </c>
      <c r="I19" s="78">
        <f>SUMIF(detalle1!V:V,222,detalle1!D:D)</f>
        <v>0</v>
      </c>
    </row>
    <row r="20" spans="1:9" ht="12.75" customHeight="1" x14ac:dyDescent="0.2">
      <c r="A20" s="89"/>
      <c r="B20" s="90" t="s">
        <v>3</v>
      </c>
      <c r="C20" s="2" t="s">
        <v>29</v>
      </c>
      <c r="D20" s="60"/>
      <c r="E20" s="35">
        <f>IF(H20=0,0,SUMIF(detalle1!V:V,223,detalle1!T:T)/SUMIF(detalle1!V:V,223,detalle1!D:D))</f>
        <v>0</v>
      </c>
      <c r="F20" s="36"/>
      <c r="G20" s="26"/>
      <c r="H20" s="27">
        <f>COUNTIF(detalle1!V:V,223)</f>
        <v>0</v>
      </c>
      <c r="I20" s="78">
        <f>SUMIF(detalle1!V:V,223,detalle1!D:D)</f>
        <v>0</v>
      </c>
    </row>
    <row r="21" spans="1:9" ht="12.75" customHeight="1" x14ac:dyDescent="0.2">
      <c r="A21" s="89"/>
      <c r="B21" s="90" t="s">
        <v>4</v>
      </c>
      <c r="C21" s="2" t="s">
        <v>30</v>
      </c>
      <c r="D21" s="60"/>
      <c r="E21" s="35">
        <f>IF(H21=0,0,SUMIF(detalle1!V:V,229,detalle1!T:T)/SUMIF(detalle1!V:V,229,detalle1!D:D))</f>
        <v>0</v>
      </c>
      <c r="F21" s="36">
        <f>+[2]xehet1!F208</f>
        <v>136</v>
      </c>
      <c r="G21" s="26">
        <f>+[2]xehet1!D208</f>
        <v>136182.13999999996</v>
      </c>
      <c r="H21" s="27">
        <f>COUNTIF(detalle1!V:V,229)</f>
        <v>0</v>
      </c>
      <c r="I21" s="78">
        <f>SUMIF(detalle1!V:V,229,detalle1!D:D)</f>
        <v>0</v>
      </c>
    </row>
    <row r="22" spans="1:9" ht="12.75" customHeight="1" x14ac:dyDescent="0.2">
      <c r="A22" s="155" t="s">
        <v>31</v>
      </c>
      <c r="B22" s="156"/>
      <c r="C22" s="156"/>
      <c r="D22" s="58">
        <f t="shared" ref="D22:I22" si="0">D23</f>
        <v>0</v>
      </c>
      <c r="E22" s="59">
        <f t="shared" si="0"/>
        <v>0</v>
      </c>
      <c r="F22" s="56">
        <f>SUM(F23)</f>
        <v>3</v>
      </c>
      <c r="G22" s="29">
        <f>SUM(G23)</f>
        <v>8487.4399999999987</v>
      </c>
      <c r="H22" s="28">
        <f t="shared" si="0"/>
        <v>0</v>
      </c>
      <c r="I22" s="88">
        <f t="shared" si="0"/>
        <v>0</v>
      </c>
    </row>
    <row r="23" spans="1:9" ht="12.75" customHeight="1" x14ac:dyDescent="0.2">
      <c r="A23" s="89"/>
      <c r="B23" s="91" t="s">
        <v>5</v>
      </c>
      <c r="C23" s="2" t="s">
        <v>31</v>
      </c>
      <c r="D23" s="60"/>
      <c r="E23" s="35">
        <f>IF(H23=0,0,SUMIF(detalle1!V:V,269,detalle1!T:T)/SUMIF(detalle1!V:V,269,detalle1!D:D))</f>
        <v>0</v>
      </c>
      <c r="F23" s="36">
        <f>+[2]xehet1!F209</f>
        <v>3</v>
      </c>
      <c r="G23" s="26">
        <f>+[2]xehet1!D209</f>
        <v>8487.4399999999987</v>
      </c>
      <c r="H23" s="27">
        <f>COUNTIF(detalle1!V:V,269)</f>
        <v>0</v>
      </c>
      <c r="I23" s="78">
        <f>SUMIF(detalle1!V:V,269,detalle1!D:D)</f>
        <v>0</v>
      </c>
    </row>
    <row r="24" spans="1:9" ht="12.75" customHeight="1" x14ac:dyDescent="0.2">
      <c r="A24" s="155" t="s">
        <v>34</v>
      </c>
      <c r="B24" s="156"/>
      <c r="C24" s="156"/>
      <c r="D24" s="58">
        <f t="shared" ref="D24:I24" si="1">D25</f>
        <v>0</v>
      </c>
      <c r="E24" s="59">
        <f t="shared" si="1"/>
        <v>0</v>
      </c>
      <c r="F24" s="56">
        <v>0</v>
      </c>
      <c r="G24" s="29">
        <v>0</v>
      </c>
      <c r="H24" s="28">
        <f t="shared" si="1"/>
        <v>0</v>
      </c>
      <c r="I24" s="88">
        <f t="shared" si="1"/>
        <v>0</v>
      </c>
    </row>
    <row r="25" spans="1:9" ht="12.75" customHeight="1" x14ac:dyDescent="0.2">
      <c r="A25" s="89"/>
      <c r="B25" s="144" t="s">
        <v>32</v>
      </c>
      <c r="C25" s="144"/>
      <c r="D25" s="92"/>
      <c r="E25" s="93"/>
      <c r="F25" s="94"/>
      <c r="G25" s="95"/>
      <c r="H25" s="96"/>
      <c r="I25" s="97"/>
    </row>
    <row r="26" spans="1:9" ht="12.75" customHeight="1" thickBot="1" x14ac:dyDescent="0.25">
      <c r="A26" s="157" t="s">
        <v>20</v>
      </c>
      <c r="B26" s="158"/>
      <c r="C26" s="158"/>
      <c r="D26" s="68"/>
      <c r="E26" s="69">
        <f>IF(I26=0,0,(E16*I16+E22*I22+E24*I24)/I26)</f>
        <v>0</v>
      </c>
      <c r="F26" s="70">
        <f>+F22+F16</f>
        <v>196</v>
      </c>
      <c r="G26" s="71">
        <f>+G22+G16</f>
        <v>183636.97999999995</v>
      </c>
      <c r="H26" s="72">
        <f>H16+H22+H24</f>
        <v>0</v>
      </c>
      <c r="I26" s="75">
        <f>I16+I22+I24</f>
        <v>0</v>
      </c>
    </row>
    <row r="27" spans="1:9" ht="12.75" customHeight="1" x14ac:dyDescent="0.2">
      <c r="A27" s="2" t="s">
        <v>33</v>
      </c>
      <c r="D27" s="31"/>
      <c r="E27" s="31">
        <f>IF(SUMIF(detalle1!V:V,"&gt;199",detalle1!D:D)=0,0,SUMIF(detalle1!V:V,"&gt;199",detalle1!T:T)/SUMIF(detalle1!V:V,"&gt;199",detalle1!D:D))-IF(I16+I22=0,0,(E16*I16+E22*I22)/(I16+I22))</f>
        <v>0</v>
      </c>
      <c r="F27" s="31"/>
      <c r="G27" s="31"/>
      <c r="H27" s="31">
        <f>COUNTIF(detalle1!P:P,"&gt;30")-H26+H25</f>
        <v>0</v>
      </c>
      <c r="I27" s="31">
        <f>SUMIF(detalle1!P:P,"&gt;30",detalle1!D:D)-I26+I25</f>
        <v>0</v>
      </c>
    </row>
    <row r="30" spans="1:9" ht="13.5" thickBot="1" x14ac:dyDescent="0.25">
      <c r="A30" s="1" t="s">
        <v>16</v>
      </c>
    </row>
    <row r="31" spans="1:9" ht="12.75" customHeight="1" x14ac:dyDescent="0.2">
      <c r="A31" s="149" t="s">
        <v>36</v>
      </c>
      <c r="B31" s="150"/>
      <c r="C31" s="151"/>
      <c r="D31" s="119" t="s">
        <v>41</v>
      </c>
      <c r="E31" s="120"/>
      <c r="F31" s="120"/>
      <c r="G31" s="121"/>
    </row>
    <row r="32" spans="1:9" ht="21" customHeight="1" x14ac:dyDescent="0.2">
      <c r="A32" s="152"/>
      <c r="B32" s="153"/>
      <c r="C32" s="154"/>
      <c r="D32" s="54" t="s">
        <v>42</v>
      </c>
      <c r="E32" s="22" t="s">
        <v>6</v>
      </c>
      <c r="F32" s="22" t="s">
        <v>25</v>
      </c>
      <c r="G32" s="67" t="s">
        <v>6</v>
      </c>
    </row>
    <row r="33" spans="1:9" ht="12.75" customHeight="1" x14ac:dyDescent="0.2">
      <c r="A33" s="89"/>
      <c r="B33" s="140" t="s">
        <v>37</v>
      </c>
      <c r="C33" s="141"/>
      <c r="D33" s="64"/>
      <c r="E33" s="26"/>
      <c r="F33" s="32">
        <f>SUM(G17:G22)</f>
        <v>183636.97999999995</v>
      </c>
      <c r="G33" s="118">
        <f>IF($F$38=0,0,F33*100/$F$38)</f>
        <v>100</v>
      </c>
    </row>
    <row r="34" spans="1:9" ht="12.75" customHeight="1" x14ac:dyDescent="0.2">
      <c r="A34" s="89"/>
      <c r="B34" s="142" t="s">
        <v>38</v>
      </c>
      <c r="C34" s="143"/>
      <c r="D34" s="65"/>
      <c r="E34" s="26"/>
      <c r="F34" s="26"/>
      <c r="G34" s="78">
        <f>IF($F$38=0,0,F34*100/$F$38)</f>
        <v>0</v>
      </c>
    </row>
    <row r="35" spans="1:9" ht="12.75" customHeight="1" x14ac:dyDescent="0.2">
      <c r="A35" s="89"/>
      <c r="B35" s="142" t="s">
        <v>39</v>
      </c>
      <c r="C35" s="143"/>
      <c r="D35" s="65"/>
      <c r="E35" s="26"/>
      <c r="F35" s="26"/>
      <c r="G35" s="78">
        <f>IF($F$38=0,0,F35*100/$F$38)</f>
        <v>0</v>
      </c>
    </row>
    <row r="36" spans="1:9" ht="12.75" customHeight="1" x14ac:dyDescent="0.2">
      <c r="A36" s="89"/>
      <c r="B36" s="142" t="s">
        <v>38</v>
      </c>
      <c r="C36" s="143"/>
      <c r="D36" s="65"/>
      <c r="E36" s="26"/>
      <c r="F36" s="26"/>
      <c r="G36" s="78">
        <f>IF($F$38=0,0,F36*100/$F$38)</f>
        <v>0</v>
      </c>
    </row>
    <row r="37" spans="1:9" ht="12.75" customHeight="1" x14ac:dyDescent="0.2">
      <c r="A37" s="98"/>
      <c r="B37" s="144" t="s">
        <v>40</v>
      </c>
      <c r="C37" s="145"/>
      <c r="D37" s="87"/>
      <c r="E37" s="26"/>
      <c r="F37" s="30"/>
      <c r="G37" s="78">
        <f>IF($F$38=0,0,F37*100/$F$38)</f>
        <v>0</v>
      </c>
    </row>
    <row r="38" spans="1:9" ht="12.75" customHeight="1" thickBot="1" x14ac:dyDescent="0.25">
      <c r="A38" s="161" t="s">
        <v>20</v>
      </c>
      <c r="B38" s="162"/>
      <c r="C38" s="163"/>
      <c r="D38" s="73">
        <f>SUM(D33:D37)</f>
        <v>0</v>
      </c>
      <c r="E38" s="74">
        <f>SUM(E33:E37)</f>
        <v>0</v>
      </c>
      <c r="F38" s="74">
        <f>SUM(F33:F37)</f>
        <v>183636.97999999995</v>
      </c>
      <c r="G38" s="75">
        <f>SUM(G33:G37)</f>
        <v>100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/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68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49" t="s">
        <v>61</v>
      </c>
      <c r="B45" s="150"/>
      <c r="C45" s="164"/>
      <c r="D45" s="166" t="s">
        <v>18</v>
      </c>
      <c r="E45" s="167"/>
      <c r="F45" s="168" t="s">
        <v>43</v>
      </c>
      <c r="G45" s="169"/>
      <c r="H45" s="169"/>
      <c r="I45" s="170"/>
    </row>
    <row r="46" spans="1:9" ht="12.75" customHeight="1" x14ac:dyDescent="0.2">
      <c r="A46" s="152"/>
      <c r="B46" s="153"/>
      <c r="C46" s="165"/>
      <c r="D46" s="171" t="s">
        <v>19</v>
      </c>
      <c r="E46" s="172"/>
      <c r="F46" s="173" t="s">
        <v>21</v>
      </c>
      <c r="G46" s="174"/>
      <c r="H46" s="174" t="s">
        <v>22</v>
      </c>
      <c r="I46" s="175"/>
    </row>
    <row r="47" spans="1:9" ht="22.5" x14ac:dyDescent="0.2">
      <c r="A47" s="152"/>
      <c r="B47" s="153"/>
      <c r="C47" s="165"/>
      <c r="D47" s="57" t="s">
        <v>20</v>
      </c>
      <c r="E47" s="23" t="s">
        <v>60</v>
      </c>
      <c r="F47" s="54" t="s">
        <v>44</v>
      </c>
      <c r="G47" s="22" t="s">
        <v>25</v>
      </c>
      <c r="H47" s="22" t="s">
        <v>44</v>
      </c>
      <c r="I47" s="67" t="s">
        <v>25</v>
      </c>
    </row>
    <row r="48" spans="1:9" ht="12.75" customHeight="1" x14ac:dyDescent="0.2">
      <c r="A48" s="155" t="s">
        <v>35</v>
      </c>
      <c r="B48" s="156"/>
      <c r="C48" s="156"/>
      <c r="D48" s="58">
        <f>SUM(D49:D53)</f>
        <v>0</v>
      </c>
      <c r="E48" s="59">
        <f>IF(I48=0,0,(E49*I49+E50*I50+E51*I51+E52*I52+E53*I53)/I48)</f>
        <v>0</v>
      </c>
      <c r="F48" s="55">
        <f>SUM(F49:F53)</f>
        <v>40</v>
      </c>
      <c r="G48" s="24">
        <f>SUM(G49:G53)</f>
        <v>18040.659999999996</v>
      </c>
      <c r="H48" s="25">
        <f>SUM(H49:H53)</f>
        <v>0</v>
      </c>
      <c r="I48" s="88">
        <f>SUM(I49:I53)</f>
        <v>0</v>
      </c>
    </row>
    <row r="49" spans="1:9" ht="12.75" customHeight="1" x14ac:dyDescent="0.2">
      <c r="A49" s="89"/>
      <c r="B49" s="90" t="s">
        <v>0</v>
      </c>
      <c r="C49" s="2" t="s">
        <v>26</v>
      </c>
      <c r="D49" s="60">
        <v>0</v>
      </c>
      <c r="E49" s="35">
        <f>IF(H49=0,0,SUMIF([1]xehet2!V$1:V$65536,220,[1]xehet2!T$1:T$65536)/SUMIF([1]xehet2!V$1:V$65536,220,[1]xehet2!D$1:D$65536))</f>
        <v>0</v>
      </c>
      <c r="F49" s="36"/>
      <c r="G49" s="26"/>
      <c r="H49" s="27"/>
      <c r="I49" s="78"/>
    </row>
    <row r="50" spans="1:9" ht="12.75" customHeight="1" x14ac:dyDescent="0.2">
      <c r="A50" s="89"/>
      <c r="B50" s="90" t="s">
        <v>1</v>
      </c>
      <c r="C50" s="2" t="s">
        <v>27</v>
      </c>
      <c r="D50" s="60">
        <v>0</v>
      </c>
      <c r="E50" s="35">
        <f>IF(H50=0,0,SUMIF([1]xehet2!V$1:V$65536,221,[1]xehet2!T$1:T$65536)/SUMIF([1]xehet2!V$1:V$65536,221,[1]xehet2!D$1:D$65536))</f>
        <v>0</v>
      </c>
      <c r="F50" s="36">
        <f>+[2]xehet2!F53</f>
        <v>4</v>
      </c>
      <c r="G50" s="26">
        <f>+[2]xehet2!D53</f>
        <v>1409.99</v>
      </c>
      <c r="H50" s="27"/>
      <c r="I50" s="78"/>
    </row>
    <row r="51" spans="1:9" ht="12.75" customHeight="1" x14ac:dyDescent="0.2">
      <c r="A51" s="89"/>
      <c r="B51" s="90" t="s">
        <v>2</v>
      </c>
      <c r="C51" s="2" t="s">
        <v>28</v>
      </c>
      <c r="D51" s="60">
        <v>0</v>
      </c>
      <c r="E51" s="35">
        <f>IF(H51=0,0,SUMIF([1]xehet2!V$1:V$65536,222,[1]xehet2!T$1:T$65536)/SUMIF([1]xehet2!V$1:V$65536,222,[1]xehet2!D$1:D$65536))</f>
        <v>0</v>
      </c>
      <c r="F51" s="36">
        <f>+[2]xehet2!F54</f>
        <v>5</v>
      </c>
      <c r="G51" s="26">
        <f>+[2]xehet2!D54</f>
        <v>1191.73</v>
      </c>
      <c r="H51" s="27"/>
      <c r="I51" s="78"/>
    </row>
    <row r="52" spans="1:9" ht="12.75" customHeight="1" x14ac:dyDescent="0.2">
      <c r="A52" s="89"/>
      <c r="B52" s="90" t="s">
        <v>3</v>
      </c>
      <c r="C52" s="2" t="s">
        <v>29</v>
      </c>
      <c r="D52" s="60">
        <v>0</v>
      </c>
      <c r="E52" s="35">
        <f>IF(H52=0,0,SUMIF([1]xehet2!V$1:V$65536,223,[1]xehet2!T$1:T$65536)/SUMIF([1]xehet2!V$1:V$65536,223,[1]xehet2!D$1:D$65536))</f>
        <v>0</v>
      </c>
      <c r="F52" s="36"/>
      <c r="G52" s="26"/>
      <c r="H52" s="27"/>
      <c r="I52" s="78"/>
    </row>
    <row r="53" spans="1:9" ht="12.75" customHeight="1" x14ac:dyDescent="0.2">
      <c r="A53" s="89"/>
      <c r="B53" s="90" t="s">
        <v>4</v>
      </c>
      <c r="C53" s="2" t="s">
        <v>30</v>
      </c>
      <c r="D53" s="60">
        <v>0</v>
      </c>
      <c r="E53" s="35">
        <f>IF(H53=0,0,SUMIF([1]xehet2!V$1:V$65536,229,[1]xehet2!T$1:T$65536)/SUMIF([1]xehet2!V$1:V$65536,229,[1]xehet2!D$1:D$65536))</f>
        <v>0</v>
      </c>
      <c r="F53" s="36">
        <f>+[2]xehet2!F55</f>
        <v>31</v>
      </c>
      <c r="G53" s="26">
        <f>+[2]xehet2!D55</f>
        <v>15438.939999999997</v>
      </c>
      <c r="H53" s="27"/>
      <c r="I53" s="78"/>
    </row>
    <row r="54" spans="1:9" ht="12.75" customHeight="1" x14ac:dyDescent="0.2">
      <c r="A54" s="155" t="s">
        <v>31</v>
      </c>
      <c r="B54" s="156"/>
      <c r="C54" s="156"/>
      <c r="D54" s="58">
        <f t="shared" ref="D54:I54" si="2">D55</f>
        <v>0</v>
      </c>
      <c r="E54" s="59">
        <f t="shared" si="2"/>
        <v>0</v>
      </c>
      <c r="F54" s="56">
        <f>SUM(F55)</f>
        <v>0</v>
      </c>
      <c r="G54" s="29">
        <f>+G55</f>
        <v>0</v>
      </c>
      <c r="H54" s="28">
        <f t="shared" si="2"/>
        <v>0</v>
      </c>
      <c r="I54" s="88">
        <f t="shared" si="2"/>
        <v>0</v>
      </c>
    </row>
    <row r="55" spans="1:9" ht="12.75" customHeight="1" x14ac:dyDescent="0.2">
      <c r="A55" s="89"/>
      <c r="B55" s="91" t="s">
        <v>5</v>
      </c>
      <c r="C55" s="2" t="s">
        <v>31</v>
      </c>
      <c r="D55" s="60">
        <v>0</v>
      </c>
      <c r="E55" s="35">
        <f>IF(H55=0,0,SUMIF([1]xehet2!V$1:V$65536,269,[1]xehet2!T$1:T$65536)/SUMIF([1]xehet2!V$1:V$65536,269,[1]xehet2!D$1:D$65536))</f>
        <v>0</v>
      </c>
      <c r="F55" s="36"/>
      <c r="G55" s="26"/>
      <c r="H55" s="27"/>
      <c r="I55" s="78"/>
    </row>
    <row r="56" spans="1:9" ht="12.75" customHeight="1" x14ac:dyDescent="0.2">
      <c r="A56" s="155" t="s">
        <v>34</v>
      </c>
      <c r="B56" s="156"/>
      <c r="C56" s="156"/>
      <c r="D56" s="58">
        <f t="shared" ref="D56:I56" si="3">D57</f>
        <v>0</v>
      </c>
      <c r="E56" s="59">
        <f t="shared" si="3"/>
        <v>0</v>
      </c>
      <c r="F56" s="56">
        <v>0</v>
      </c>
      <c r="G56" s="29">
        <v>0</v>
      </c>
      <c r="H56" s="28">
        <f t="shared" si="3"/>
        <v>0</v>
      </c>
      <c r="I56" s="88">
        <f t="shared" si="3"/>
        <v>0</v>
      </c>
    </row>
    <row r="57" spans="1:9" ht="12.75" customHeight="1" x14ac:dyDescent="0.2">
      <c r="A57" s="89"/>
      <c r="B57" s="144" t="s">
        <v>32</v>
      </c>
      <c r="C57" s="144"/>
      <c r="D57" s="92"/>
      <c r="E57" s="93"/>
      <c r="F57" s="94"/>
      <c r="G57" s="95"/>
      <c r="H57" s="96"/>
      <c r="I57" s="97"/>
    </row>
    <row r="58" spans="1:9" ht="12.75" customHeight="1" thickBot="1" x14ac:dyDescent="0.25">
      <c r="A58" s="157" t="s">
        <v>20</v>
      </c>
      <c r="B58" s="158"/>
      <c r="C58" s="158"/>
      <c r="D58" s="68">
        <f>+D56+D54+D48</f>
        <v>0</v>
      </c>
      <c r="E58" s="69">
        <f>IF(I58=0,0,(E48*I48+E54*I54+E56*I56)/I58)</f>
        <v>0</v>
      </c>
      <c r="F58" s="70">
        <f>+F54+F48</f>
        <v>40</v>
      </c>
      <c r="G58" s="71">
        <f>+G54+G48</f>
        <v>18040.659999999996</v>
      </c>
      <c r="H58" s="72">
        <f>H48+H54+H56</f>
        <v>0</v>
      </c>
      <c r="I58" s="75">
        <f>I48+I54+I56</f>
        <v>0</v>
      </c>
    </row>
    <row r="59" spans="1:9" ht="12.75" customHeight="1" x14ac:dyDescent="0.2">
      <c r="A59" s="2" t="s">
        <v>33</v>
      </c>
      <c r="D59" s="109">
        <v>0</v>
      </c>
      <c r="E59" s="31"/>
      <c r="F59" s="31"/>
      <c r="G59" s="31"/>
      <c r="H59" s="31"/>
      <c r="I59" s="31"/>
    </row>
    <row r="60" spans="1:9" ht="12.75" customHeight="1" x14ac:dyDescent="0.2">
      <c r="E60" s="101">
        <f>SUMIF(detalle2!V:V,"&gt;199",detalle2!D:D)</f>
        <v>0</v>
      </c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63</v>
      </c>
    </row>
    <row r="67" spans="1:7" ht="33.75" x14ac:dyDescent="0.2">
      <c r="A67" s="149" t="s">
        <v>62</v>
      </c>
      <c r="B67" s="150"/>
      <c r="C67" s="151"/>
      <c r="D67" s="76" t="s">
        <v>46</v>
      </c>
      <c r="E67" s="66" t="s">
        <v>47</v>
      </c>
      <c r="F67" s="77" t="s">
        <v>25</v>
      </c>
      <c r="G67" s="34"/>
    </row>
    <row r="68" spans="1:7" ht="12.75" customHeight="1" x14ac:dyDescent="0.2">
      <c r="A68" s="99"/>
      <c r="B68" s="159" t="s">
        <v>35</v>
      </c>
      <c r="C68" s="160"/>
      <c r="D68" s="61">
        <f>IF(E68=0,0,SUMIF(detalle32!T:T,22,detalle32!R:R)/SUMIF(detalle32!T:T,22,detalle32!D:D))</f>
        <v>0</v>
      </c>
      <c r="E68" s="27">
        <f>COUNTIF(detalle32!T:T,22)</f>
        <v>0</v>
      </c>
      <c r="F68" s="78">
        <f>SUMIF(detalle32!T:T,22,detalle32!D:D)</f>
        <v>0</v>
      </c>
    </row>
    <row r="69" spans="1:7" ht="12.75" customHeight="1" x14ac:dyDescent="0.2">
      <c r="A69" s="89"/>
      <c r="B69" s="142" t="s">
        <v>31</v>
      </c>
      <c r="C69" s="143"/>
      <c r="D69" s="61">
        <f>IF(E69=0,0,SUMIF(detalle32!T:T,26,detalle32!R:R)/SUMIF(detalle32!T:T,26,detalle32!D:D))</f>
        <v>0</v>
      </c>
      <c r="E69" s="27">
        <f>COUNTIF(detalle32!T:T,26)</f>
        <v>0</v>
      </c>
      <c r="F69" s="78">
        <f>SUMIF(detalle32!T:T,26,detalle32!D:D)</f>
        <v>0</v>
      </c>
    </row>
    <row r="70" spans="1:7" ht="12.75" customHeight="1" x14ac:dyDescent="0.2">
      <c r="A70" s="98"/>
      <c r="B70" s="144" t="s">
        <v>45</v>
      </c>
      <c r="C70" s="145"/>
      <c r="D70" s="61">
        <f>IF(E70=0,0,SUMIF(detalle32!T:T,29,detalle32!R:R)/SUMIF(detalle32!T:T,29,detalle32!D:D))</f>
        <v>0</v>
      </c>
      <c r="E70" s="27">
        <f>COUNTIF(detalle32!T:T,29)</f>
        <v>0</v>
      </c>
      <c r="F70" s="78">
        <f>SUMIF(detalle32!T:T,29,detalle32!D:D)</f>
        <v>0</v>
      </c>
    </row>
    <row r="71" spans="1:7" ht="12.75" customHeight="1" thickBot="1" x14ac:dyDescent="0.25">
      <c r="A71" s="146" t="s">
        <v>20</v>
      </c>
      <c r="B71" s="147"/>
      <c r="C71" s="148"/>
      <c r="D71" s="79">
        <f>IF(F71=0,0,(D68*F68+D69*F69+D70*F70)/F71)</f>
        <v>0</v>
      </c>
      <c r="E71" s="72">
        <f>SUM(E68:E70)</f>
        <v>0</v>
      </c>
      <c r="F71" s="80">
        <f>SUM(F68:F70)</f>
        <v>0</v>
      </c>
    </row>
    <row r="72" spans="1:7" ht="12.75" customHeight="1" x14ac:dyDescent="0.2">
      <c r="D72" s="31">
        <f>IF(D73=0,0,SUMIF(detalle32!O:O,"&gt;90",detalle32!R:R)/SUMIF(detalle32!O:O,"&gt;90",detalle32!D:D))-IF(D71="",0,D71)</f>
        <v>0</v>
      </c>
      <c r="E72" s="31">
        <f>COUNTIF(detalle32!O:O,"&gt;90")-E71</f>
        <v>0</v>
      </c>
      <c r="F72" s="31">
        <f>SUMIF(detalle32!O:O,"&gt;90",detalle32!D:D)-F71</f>
        <v>0</v>
      </c>
    </row>
    <row r="73" spans="1:7" ht="12.75" customHeight="1" x14ac:dyDescent="0.2">
      <c r="D73" s="101">
        <f>SUMIF(detalle32!O:O,"&gt;90",detalle32!D:D)</f>
        <v>0</v>
      </c>
    </row>
    <row r="74" spans="1:7" s="19" customFormat="1" ht="13.5" thickBot="1" x14ac:dyDescent="0.25">
      <c r="A74" s="1" t="s">
        <v>65</v>
      </c>
    </row>
    <row r="75" spans="1:7" ht="12.75" customHeight="1" x14ac:dyDescent="0.2">
      <c r="A75" s="149" t="s">
        <v>66</v>
      </c>
      <c r="B75" s="150"/>
      <c r="C75" s="151"/>
      <c r="D75" s="119" t="s">
        <v>55</v>
      </c>
      <c r="E75" s="120"/>
      <c r="F75" s="120"/>
      <c r="G75" s="121"/>
    </row>
    <row r="76" spans="1:7" ht="22.5" x14ac:dyDescent="0.2">
      <c r="A76" s="152"/>
      <c r="B76" s="153"/>
      <c r="C76" s="154"/>
      <c r="D76" s="54" t="s">
        <v>42</v>
      </c>
      <c r="E76" s="22" t="s">
        <v>6</v>
      </c>
      <c r="F76" s="22" t="s">
        <v>25</v>
      </c>
      <c r="G76" s="67" t="s">
        <v>6</v>
      </c>
    </row>
    <row r="77" spans="1:7" ht="12.75" customHeight="1" x14ac:dyDescent="0.2">
      <c r="A77" s="99"/>
      <c r="B77" s="140" t="s">
        <v>37</v>
      </c>
      <c r="C77" s="141"/>
      <c r="D77" s="36">
        <f>COUNTIF(detalle32!O:O,"&lt;=30")</f>
        <v>0</v>
      </c>
      <c r="E77" s="37">
        <v>100</v>
      </c>
      <c r="F77" s="26"/>
      <c r="G77" s="81">
        <f>IF($F$81=0,0,F77*100/$F$81)</f>
        <v>0</v>
      </c>
    </row>
    <row r="78" spans="1:7" ht="12.75" customHeight="1" x14ac:dyDescent="0.2">
      <c r="A78" s="89"/>
      <c r="B78" s="142" t="s">
        <v>48</v>
      </c>
      <c r="C78" s="143"/>
      <c r="D78" s="36">
        <f>COUNTIF(detalle32!O:O,"&lt;=60")-D77</f>
        <v>0</v>
      </c>
      <c r="E78" s="37">
        <f>IF($D$81=0,0,D78*100/$D$81)</f>
        <v>0</v>
      </c>
      <c r="F78" s="26"/>
      <c r="G78" s="81">
        <f>IF($F$81=0,0,F78*100/$F$81)</f>
        <v>0</v>
      </c>
    </row>
    <row r="79" spans="1:7" ht="12.75" customHeight="1" x14ac:dyDescent="0.2">
      <c r="A79" s="89"/>
      <c r="B79" s="142" t="s">
        <v>49</v>
      </c>
      <c r="C79" s="143"/>
      <c r="D79" s="36">
        <f>COUNTIF(detalle32!O:O,"&lt;=90")-SUM(D77:D78)</f>
        <v>0</v>
      </c>
      <c r="E79" s="37">
        <f>IF($D$81=0,0,D79*100/$D$81)</f>
        <v>0</v>
      </c>
      <c r="F79" s="26"/>
      <c r="G79" s="81">
        <f>IF($F$81=0,0,F79*100/$F$81)</f>
        <v>0</v>
      </c>
    </row>
    <row r="80" spans="1:7" ht="12.75" customHeight="1" x14ac:dyDescent="0.2">
      <c r="A80" s="89"/>
      <c r="B80" s="144" t="s">
        <v>50</v>
      </c>
      <c r="C80" s="145"/>
      <c r="D80" s="36">
        <f>COUNTIF(detalle32!O:O,"&gt;90")</f>
        <v>0</v>
      </c>
      <c r="E80" s="37">
        <f>IF($D$81=0,0,D80*100/$D$81)</f>
        <v>0</v>
      </c>
      <c r="F80" s="26">
        <f>SUMIF(detalle32!O:O,"&gt;90",detalle32!D:D)</f>
        <v>0</v>
      </c>
      <c r="G80" s="81">
        <f>IF($F$81=0,0,F80*100/$F$81)</f>
        <v>0</v>
      </c>
    </row>
    <row r="81" spans="1:8" ht="12.75" customHeight="1" thickBot="1" x14ac:dyDescent="0.25">
      <c r="A81" s="124" t="s">
        <v>20</v>
      </c>
      <c r="B81" s="125"/>
      <c r="C81" s="126"/>
      <c r="D81" s="70">
        <f>SUM(D77:D80)</f>
        <v>0</v>
      </c>
      <c r="E81" s="82">
        <f>SUM(E77:E80)</f>
        <v>100</v>
      </c>
      <c r="F81" s="71">
        <f>SUM(F77:F80)</f>
        <v>0</v>
      </c>
      <c r="G81" s="83">
        <f>SUM(G77:G80)</f>
        <v>0</v>
      </c>
    </row>
    <row r="82" spans="1:8" ht="12.75" customHeight="1" x14ac:dyDescent="0.2">
      <c r="A82" s="33"/>
      <c r="B82" s="33"/>
      <c r="C82" s="33"/>
      <c r="D82" s="31">
        <f>COUNT(detalle32!D:D)-D81</f>
        <v>0</v>
      </c>
      <c r="E82" s="31"/>
      <c r="F82" s="31"/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51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27" t="s">
        <v>52</v>
      </c>
      <c r="B88" s="128"/>
      <c r="C88" s="129"/>
      <c r="D88" s="138" t="s">
        <v>58</v>
      </c>
      <c r="E88" s="139"/>
      <c r="F88" s="138" t="s">
        <v>59</v>
      </c>
      <c r="G88" s="139"/>
      <c r="H88" s="133" t="s">
        <v>56</v>
      </c>
    </row>
    <row r="89" spans="1:8" ht="12.75" customHeight="1" x14ac:dyDescent="0.2">
      <c r="A89" s="130"/>
      <c r="B89" s="131"/>
      <c r="C89" s="132"/>
      <c r="D89" s="62" t="s">
        <v>54</v>
      </c>
      <c r="E89" s="63" t="s">
        <v>57</v>
      </c>
      <c r="F89" s="62" t="s">
        <v>54</v>
      </c>
      <c r="G89" s="63" t="s">
        <v>57</v>
      </c>
      <c r="H89" s="134"/>
    </row>
    <row r="90" spans="1:8" ht="12.75" customHeight="1" thickBot="1" x14ac:dyDescent="0.25">
      <c r="A90" s="135" t="str">
        <f>D3</f>
        <v>OARSOALDEA</v>
      </c>
      <c r="B90" s="136"/>
      <c r="C90" s="137"/>
      <c r="D90" s="84">
        <v>0</v>
      </c>
      <c r="E90" s="85">
        <f>+G26</f>
        <v>183636.97999999995</v>
      </c>
      <c r="F90" s="84">
        <v>0</v>
      </c>
      <c r="G90" s="85">
        <f>+G58</f>
        <v>18040.659999999996</v>
      </c>
      <c r="H90" s="86">
        <f>IF(E90=0,F90,IF(G90=0,D90,(D90*E90+F90*G90)/(E90+G90)))</f>
        <v>0</v>
      </c>
    </row>
    <row r="91" spans="1:8" ht="12.75" customHeight="1" x14ac:dyDescent="0.2">
      <c r="D91" s="31"/>
      <c r="E91" s="102">
        <f>E90-F38</f>
        <v>0</v>
      </c>
      <c r="F91" s="102"/>
      <c r="G91" s="102">
        <f>G90-G58-I58-F81</f>
        <v>0</v>
      </c>
      <c r="H91" s="102">
        <f>IF(H92=0,0,(SUM(detalle1!U:U)+SUM(detalle2!U:U)+SUM(detalle32!S:S)+D24*(G24+I24)+D56*(G56+I56))/(SUM(detalle1!D:D)+SUM(detalle2!D:D)+SUM(detalle32!D:D)+G24+I24+G56+I56))-IF(H90="",0,H90)</f>
        <v>0</v>
      </c>
    </row>
    <row r="92" spans="1:8" ht="12.75" customHeight="1" thickBot="1" x14ac:dyDescent="0.25">
      <c r="A92" s="4" t="s">
        <v>53</v>
      </c>
      <c r="H92" s="100">
        <f>(SUM(detalle1!D:D)+SUM(detalle2!D:D)+SUM(detalle32!D:D)+G24+I24+G56+I56)</f>
        <v>806710.55999999982</v>
      </c>
    </row>
    <row r="93" spans="1:8" ht="43.5" customHeight="1" thickBot="1" x14ac:dyDescent="0.25">
      <c r="B93" s="122"/>
      <c r="C93" s="123"/>
    </row>
  </sheetData>
  <mergeCells count="51">
    <mergeCell ref="A1:B1"/>
    <mergeCell ref="A2:I2"/>
    <mergeCell ref="D3:G3"/>
    <mergeCell ref="A13:C15"/>
    <mergeCell ref="D13:E13"/>
    <mergeCell ref="F13:I13"/>
    <mergeCell ref="D14:E14"/>
    <mergeCell ref="F14:G14"/>
    <mergeCell ref="H14:I14"/>
    <mergeCell ref="B35:C35"/>
    <mergeCell ref="A16:C16"/>
    <mergeCell ref="A22:C22"/>
    <mergeCell ref="A24:C24"/>
    <mergeCell ref="B25:C25"/>
    <mergeCell ref="A26:C26"/>
    <mergeCell ref="A31:C32"/>
    <mergeCell ref="B33:C33"/>
    <mergeCell ref="B34:C34"/>
    <mergeCell ref="F45:I45"/>
    <mergeCell ref="D46:E46"/>
    <mergeCell ref="F46:G46"/>
    <mergeCell ref="H46:I46"/>
    <mergeCell ref="D31:G31"/>
    <mergeCell ref="B36:C36"/>
    <mergeCell ref="B37:C37"/>
    <mergeCell ref="A38:C38"/>
    <mergeCell ref="A45:C47"/>
    <mergeCell ref="D45:E45"/>
    <mergeCell ref="A71:C71"/>
    <mergeCell ref="A75:C76"/>
    <mergeCell ref="A48:C48"/>
    <mergeCell ref="A54:C54"/>
    <mergeCell ref="A56:C56"/>
    <mergeCell ref="B57:C57"/>
    <mergeCell ref="A58:C58"/>
    <mergeCell ref="A67:C67"/>
    <mergeCell ref="B68:C68"/>
    <mergeCell ref="B69:C69"/>
    <mergeCell ref="B70:C70"/>
    <mergeCell ref="D75:G75"/>
    <mergeCell ref="B93:C93"/>
    <mergeCell ref="A81:C81"/>
    <mergeCell ref="A88:C89"/>
    <mergeCell ref="H88:H89"/>
    <mergeCell ref="A90:C90"/>
    <mergeCell ref="D88:E88"/>
    <mergeCell ref="F88:G88"/>
    <mergeCell ref="B77:C77"/>
    <mergeCell ref="B78:C78"/>
    <mergeCell ref="B80:C80"/>
    <mergeCell ref="B79:C79"/>
  </mergeCells>
  <phoneticPr fontId="4" type="noConversion"/>
  <conditionalFormatting sqref="A1:B1 D27:F27 H27:I27 D39:F40 D72:F72 D82:F83 E91:H91">
    <cfRule type="cellIs" dxfId="21" priority="24" stopIfTrue="1" operator="equal">
      <formula>0</formula>
    </cfRule>
  </conditionalFormatting>
  <conditionalFormatting sqref="D16 D22 D24">
    <cfRule type="expression" dxfId="20" priority="19" stopIfTrue="1">
      <formula>F16+H16=0</formula>
    </cfRule>
  </conditionalFormatting>
  <conditionalFormatting sqref="D17:D21">
    <cfRule type="expression" dxfId="19" priority="29" stopIfTrue="1">
      <formula>#REF!+H17=0</formula>
    </cfRule>
  </conditionalFormatting>
  <conditionalFormatting sqref="D23 D68:D70">
    <cfRule type="expression" dxfId="18" priority="17" stopIfTrue="1">
      <formula>F23+H23=0</formula>
    </cfRule>
  </conditionalFormatting>
  <conditionalFormatting sqref="D48 D54 D56">
    <cfRule type="expression" dxfId="17" priority="6" stopIfTrue="1">
      <formula>F48+H48=0</formula>
    </cfRule>
  </conditionalFormatting>
  <conditionalFormatting sqref="D49:D53">
    <cfRule type="expression" dxfId="16" priority="28" stopIfTrue="1">
      <formula>F17+H49=0</formula>
    </cfRule>
  </conditionalFormatting>
  <conditionalFormatting sqref="D55">
    <cfRule type="expression" dxfId="15" priority="8" stopIfTrue="1">
      <formula>F55+H55=0</formula>
    </cfRule>
  </conditionalFormatting>
  <conditionalFormatting sqref="D90 F90">
    <cfRule type="cellIs" dxfId="14" priority="2" stopIfTrue="1" operator="equal">
      <formula>0</formula>
    </cfRule>
  </conditionalFormatting>
  <conditionalFormatting sqref="D54:E54 D26:E26 D71">
    <cfRule type="cellIs" dxfId="13" priority="25" stopIfTrue="1" operator="equal">
      <formula>0</formula>
    </cfRule>
  </conditionalFormatting>
  <conditionalFormatting sqref="D58:E58">
    <cfRule type="cellIs" dxfId="12" priority="4" stopIfTrue="1" operator="equal">
      <formula>0</formula>
    </cfRule>
  </conditionalFormatting>
  <conditionalFormatting sqref="D59:E59">
    <cfRule type="cellIs" dxfId="11" priority="26" stopIfTrue="1" operator="between">
      <formula>-0.001</formula>
      <formula>0.001</formula>
    </cfRule>
  </conditionalFormatting>
  <conditionalFormatting sqref="E16 E22 E24">
    <cfRule type="expression" dxfId="10" priority="20" stopIfTrue="1">
      <formula>H16=0</formula>
    </cfRule>
  </conditionalFormatting>
  <conditionalFormatting sqref="E17:E21 E23">
    <cfRule type="expression" dxfId="9" priority="18" stopIfTrue="1">
      <formula>H17=0</formula>
    </cfRule>
  </conditionalFormatting>
  <conditionalFormatting sqref="E38">
    <cfRule type="expression" dxfId="8" priority="22" stopIfTrue="1">
      <formula>$D$38=0</formula>
    </cfRule>
  </conditionalFormatting>
  <conditionalFormatting sqref="E48 E54 E56">
    <cfRule type="expression" dxfId="7" priority="5" stopIfTrue="1">
      <formula>H48=0</formula>
    </cfRule>
  </conditionalFormatting>
  <conditionalFormatting sqref="E49:E53 E55">
    <cfRule type="expression" dxfId="6" priority="7" stopIfTrue="1">
      <formula>H49=0</formula>
    </cfRule>
  </conditionalFormatting>
  <conditionalFormatting sqref="E77:E80">
    <cfRule type="expression" dxfId="5" priority="21" stopIfTrue="1">
      <formula>$D$81=0</formula>
    </cfRule>
  </conditionalFormatting>
  <conditionalFormatting sqref="F59:I59">
    <cfRule type="cellIs" dxfId="4" priority="3" stopIfTrue="1" operator="equal">
      <formula>0</formula>
    </cfRule>
  </conditionalFormatting>
  <conditionalFormatting sqref="G27">
    <cfRule type="cellIs" dxfId="3" priority="27" stopIfTrue="1" operator="between">
      <formula>-0.00001</formula>
      <formula>0.00001</formula>
    </cfRule>
  </conditionalFormatting>
  <conditionalFormatting sqref="G38">
    <cfRule type="expression" dxfId="2" priority="23" stopIfTrue="1">
      <formula>$F$38=0</formula>
    </cfRule>
  </conditionalFormatting>
  <conditionalFormatting sqref="G77:G80">
    <cfRule type="expression" dxfId="1" priority="16" stopIfTrue="1">
      <formula>F$81=0</formula>
    </cfRule>
  </conditionalFormatting>
  <conditionalFormatting sqref="H90">
    <cfRule type="expression" dxfId="0" priority="1" stopIfTrue="1">
      <formula>$E$90+$G$90=0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H23:I23 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1:V211"/>
  <sheetViews>
    <sheetView zoomScale="85" zoomScaleNormal="85" workbookViewId="0">
      <selection activeCell="A7" sqref="A7:XFD211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9.140625" style="2" customWidth="1"/>
    <col min="4" max="4" width="11.140625" style="8" bestFit="1" customWidth="1"/>
    <col min="5" max="5" width="7.42578125" style="2" bestFit="1" customWidth="1"/>
    <col min="6" max="6" width="11.28515625" style="2" customWidth="1"/>
    <col min="7" max="7" width="18.28515625" style="2" customWidth="1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" style="15" bestFit="1" customWidth="1"/>
    <col min="13" max="13" width="13.5703125" style="15" bestFit="1" customWidth="1"/>
    <col min="14" max="14" width="10.28515625" style="15" bestFit="1" customWidth="1"/>
    <col min="15" max="15" width="10.85546875" style="10" bestFit="1" customWidth="1"/>
    <col min="16" max="16" width="6.5703125" style="10" customWidth="1"/>
    <col min="17" max="17" width="5.42578125" style="10" customWidth="1"/>
    <col min="18" max="18" width="6.7109375" style="10" customWidth="1"/>
    <col min="19" max="19" width="3.85546875" style="2" bestFit="1" customWidth="1"/>
    <col min="20" max="20" width="13" style="8" bestFit="1" customWidth="1"/>
    <col min="21" max="21" width="14.5703125" style="8" bestFit="1" customWidth="1"/>
    <col min="22" max="16384" width="9.140625" style="2"/>
  </cols>
  <sheetData>
    <row r="1" spans="1:22" x14ac:dyDescent="0.2">
      <c r="A1" s="3" t="s">
        <v>69</v>
      </c>
      <c r="B1" s="17"/>
      <c r="C1" s="4"/>
      <c r="D1" s="7"/>
      <c r="E1" s="4"/>
      <c r="F1" s="4"/>
      <c r="G1" s="4"/>
      <c r="H1" s="4"/>
      <c r="I1" s="4"/>
      <c r="J1" s="4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M2" s="181"/>
      <c r="N2" s="181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6" spans="1:22" ht="22.5" x14ac:dyDescent="0.2">
      <c r="A6" s="5" t="s">
        <v>70</v>
      </c>
      <c r="B6" s="18" t="s">
        <v>71</v>
      </c>
      <c r="C6" s="6" t="s">
        <v>72</v>
      </c>
      <c r="D6" s="9" t="s">
        <v>57</v>
      </c>
      <c r="E6" s="5" t="s">
        <v>73</v>
      </c>
      <c r="F6" s="6" t="s">
        <v>74</v>
      </c>
      <c r="G6" s="6" t="s">
        <v>75</v>
      </c>
      <c r="H6" s="6" t="s">
        <v>8</v>
      </c>
      <c r="I6" s="6" t="s">
        <v>9</v>
      </c>
      <c r="J6" s="6" t="s">
        <v>7</v>
      </c>
      <c r="K6" s="16" t="s">
        <v>76</v>
      </c>
      <c r="L6" s="16" t="s">
        <v>77</v>
      </c>
      <c r="M6" s="16" t="s">
        <v>78</v>
      </c>
      <c r="N6" s="16" t="s">
        <v>79</v>
      </c>
      <c r="O6" s="11" t="s">
        <v>80</v>
      </c>
      <c r="P6" s="12" t="s">
        <v>81</v>
      </c>
      <c r="Q6" s="13" t="s">
        <v>82</v>
      </c>
      <c r="R6" s="14" t="s">
        <v>56</v>
      </c>
      <c r="S6" s="2" t="s">
        <v>83</v>
      </c>
      <c r="T6" s="8" t="s">
        <v>84</v>
      </c>
      <c r="U6" s="8" t="s">
        <v>85</v>
      </c>
      <c r="V6" s="2" t="s">
        <v>86</v>
      </c>
    </row>
    <row r="7" spans="1:22" ht="12.75" x14ac:dyDescent="0.2">
      <c r="A7" s="111" t="s">
        <v>92</v>
      </c>
      <c r="B7" s="112">
        <v>45108</v>
      </c>
      <c r="C7" s="111" t="s">
        <v>93</v>
      </c>
      <c r="D7" s="114">
        <v>681.05</v>
      </c>
      <c r="E7">
        <v>20</v>
      </c>
      <c r="K7" s="2"/>
      <c r="L7" s="112">
        <v>45108</v>
      </c>
      <c r="N7" s="15">
        <f t="shared" ref="N7:N70" si="0">+O7</f>
        <v>45108</v>
      </c>
      <c r="O7" s="112">
        <v>45108</v>
      </c>
      <c r="P7" s="10">
        <f t="shared" ref="P7:P70" si="1">+L7-N7</f>
        <v>0</v>
      </c>
      <c r="Q7" s="10">
        <f t="shared" ref="Q7:Q70" si="2">+N7-O7</f>
        <v>0</v>
      </c>
      <c r="R7" s="10">
        <f t="shared" ref="R7:R70" si="3">+L7-O7</f>
        <v>0</v>
      </c>
      <c r="S7" s="10">
        <f t="shared" ref="S7:S70" si="4">+R7-30</f>
        <v>-30</v>
      </c>
    </row>
    <row r="8" spans="1:22" ht="12.75" x14ac:dyDescent="0.2">
      <c r="A8" s="111" t="s">
        <v>94</v>
      </c>
      <c r="B8" s="112">
        <v>45108</v>
      </c>
      <c r="C8" s="111" t="s">
        <v>95</v>
      </c>
      <c r="D8" s="114">
        <v>60.5</v>
      </c>
      <c r="E8">
        <v>20</v>
      </c>
      <c r="K8" s="2"/>
      <c r="L8" s="112">
        <v>45108</v>
      </c>
      <c r="N8" s="15">
        <f t="shared" si="0"/>
        <v>45112</v>
      </c>
      <c r="O8" s="112">
        <v>45112</v>
      </c>
      <c r="P8" s="10">
        <f t="shared" si="1"/>
        <v>-4</v>
      </c>
      <c r="Q8" s="10">
        <f t="shared" si="2"/>
        <v>0</v>
      </c>
      <c r="R8" s="10">
        <f t="shared" si="3"/>
        <v>-4</v>
      </c>
      <c r="S8" s="10">
        <f t="shared" si="4"/>
        <v>-34</v>
      </c>
    </row>
    <row r="9" spans="1:22" ht="12.75" x14ac:dyDescent="0.2">
      <c r="A9" s="111" t="s">
        <v>96</v>
      </c>
      <c r="B9" s="112">
        <v>45108</v>
      </c>
      <c r="C9" s="111" t="s">
        <v>97</v>
      </c>
      <c r="D9" s="114">
        <v>205.7</v>
      </c>
      <c r="E9">
        <v>20</v>
      </c>
      <c r="K9" s="2"/>
      <c r="L9" s="112">
        <v>45108</v>
      </c>
      <c r="N9" s="15">
        <f t="shared" si="0"/>
        <v>45112</v>
      </c>
      <c r="O9" s="112">
        <v>45112</v>
      </c>
      <c r="P9" s="10">
        <f t="shared" si="1"/>
        <v>-4</v>
      </c>
      <c r="Q9" s="10">
        <f t="shared" si="2"/>
        <v>0</v>
      </c>
      <c r="R9" s="10">
        <f t="shared" si="3"/>
        <v>-4</v>
      </c>
      <c r="S9" s="10">
        <f t="shared" si="4"/>
        <v>-34</v>
      </c>
    </row>
    <row r="10" spans="1:22" ht="12.75" x14ac:dyDescent="0.2">
      <c r="A10" s="111" t="s">
        <v>98</v>
      </c>
      <c r="B10" s="112">
        <v>45108</v>
      </c>
      <c r="C10" s="111" t="s">
        <v>99</v>
      </c>
      <c r="D10" s="114">
        <v>834.14</v>
      </c>
      <c r="E10">
        <v>20</v>
      </c>
      <c r="K10" s="2"/>
      <c r="L10" s="112">
        <v>45108</v>
      </c>
      <c r="N10" s="15">
        <f t="shared" si="0"/>
        <v>45125</v>
      </c>
      <c r="O10" s="112">
        <v>45125</v>
      </c>
      <c r="P10" s="10">
        <f t="shared" si="1"/>
        <v>-17</v>
      </c>
      <c r="Q10" s="10">
        <f t="shared" si="2"/>
        <v>0</v>
      </c>
      <c r="R10" s="10">
        <f t="shared" si="3"/>
        <v>-17</v>
      </c>
      <c r="S10" s="10">
        <f t="shared" si="4"/>
        <v>-47</v>
      </c>
    </row>
    <row r="11" spans="1:22" ht="12.75" x14ac:dyDescent="0.2">
      <c r="A11" s="111" t="s">
        <v>100</v>
      </c>
      <c r="B11" s="112">
        <v>45121</v>
      </c>
      <c r="C11" s="111" t="s">
        <v>101</v>
      </c>
      <c r="D11" s="114">
        <v>2205.63</v>
      </c>
      <c r="E11">
        <v>20</v>
      </c>
      <c r="K11" s="2"/>
      <c r="L11" s="112">
        <v>45121</v>
      </c>
      <c r="N11" s="15">
        <f t="shared" si="0"/>
        <v>45134</v>
      </c>
      <c r="O11" s="112">
        <v>45134</v>
      </c>
      <c r="P11" s="10">
        <f t="shared" si="1"/>
        <v>-13</v>
      </c>
      <c r="Q11" s="10">
        <f t="shared" si="2"/>
        <v>0</v>
      </c>
      <c r="R11" s="10">
        <f t="shared" si="3"/>
        <v>-13</v>
      </c>
      <c r="S11" s="10">
        <f t="shared" si="4"/>
        <v>-43</v>
      </c>
    </row>
    <row r="12" spans="1:22" ht="12.75" x14ac:dyDescent="0.2">
      <c r="A12" s="111" t="s">
        <v>102</v>
      </c>
      <c r="B12" s="112">
        <v>45139</v>
      </c>
      <c r="C12" s="111" t="s">
        <v>103</v>
      </c>
      <c r="D12" s="114">
        <v>681.05</v>
      </c>
      <c r="E12">
        <v>20</v>
      </c>
      <c r="K12" s="2"/>
      <c r="L12" s="112">
        <v>45139</v>
      </c>
      <c r="N12" s="15">
        <f t="shared" si="0"/>
        <v>45139</v>
      </c>
      <c r="O12" s="112">
        <v>45139</v>
      </c>
      <c r="P12" s="10">
        <f t="shared" si="1"/>
        <v>0</v>
      </c>
      <c r="Q12" s="10">
        <f t="shared" si="2"/>
        <v>0</v>
      </c>
      <c r="R12" s="10">
        <f t="shared" si="3"/>
        <v>0</v>
      </c>
      <c r="S12" s="10">
        <f t="shared" si="4"/>
        <v>-30</v>
      </c>
    </row>
    <row r="13" spans="1:22" ht="12.75" x14ac:dyDescent="0.2">
      <c r="A13" s="111" t="s">
        <v>104</v>
      </c>
      <c r="B13" s="112">
        <v>45126</v>
      </c>
      <c r="C13" s="111" t="s">
        <v>105</v>
      </c>
      <c r="D13" s="114">
        <v>599.5</v>
      </c>
      <c r="E13">
        <v>20</v>
      </c>
      <c r="K13" s="2"/>
      <c r="L13" s="112">
        <v>45126</v>
      </c>
      <c r="N13" s="15">
        <f t="shared" si="0"/>
        <v>45134</v>
      </c>
      <c r="O13" s="112">
        <v>45134</v>
      </c>
      <c r="P13" s="10">
        <f t="shared" si="1"/>
        <v>-8</v>
      </c>
      <c r="Q13" s="10">
        <f t="shared" si="2"/>
        <v>0</v>
      </c>
      <c r="R13" s="10">
        <f t="shared" si="3"/>
        <v>-8</v>
      </c>
      <c r="S13" s="10">
        <f t="shared" si="4"/>
        <v>-38</v>
      </c>
    </row>
    <row r="14" spans="1:22" ht="12.75" x14ac:dyDescent="0.2">
      <c r="A14" s="111" t="s">
        <v>106</v>
      </c>
      <c r="B14" s="112">
        <v>45139</v>
      </c>
      <c r="C14" s="111" t="s">
        <v>107</v>
      </c>
      <c r="D14" s="114">
        <v>834.15</v>
      </c>
      <c r="E14">
        <v>20</v>
      </c>
      <c r="K14" s="2"/>
      <c r="L14" s="112">
        <v>45139</v>
      </c>
      <c r="N14" s="15">
        <f t="shared" si="0"/>
        <v>45168</v>
      </c>
      <c r="O14" s="112">
        <v>45168</v>
      </c>
      <c r="P14" s="10">
        <f t="shared" si="1"/>
        <v>-29</v>
      </c>
      <c r="Q14" s="10">
        <f t="shared" si="2"/>
        <v>0</v>
      </c>
      <c r="R14" s="10">
        <f t="shared" si="3"/>
        <v>-29</v>
      </c>
      <c r="S14" s="10">
        <f t="shared" si="4"/>
        <v>-59</v>
      </c>
    </row>
    <row r="15" spans="1:22" ht="12.75" x14ac:dyDescent="0.2">
      <c r="A15" s="111" t="s">
        <v>108</v>
      </c>
      <c r="B15" s="112">
        <v>45170</v>
      </c>
      <c r="C15" s="111" t="s">
        <v>109</v>
      </c>
      <c r="D15" s="114">
        <v>681.05</v>
      </c>
      <c r="E15">
        <v>20</v>
      </c>
      <c r="K15" s="2"/>
      <c r="L15" s="112">
        <v>45170</v>
      </c>
      <c r="N15" s="15">
        <f t="shared" si="0"/>
        <v>45170</v>
      </c>
      <c r="O15" s="112">
        <v>45170</v>
      </c>
      <c r="P15" s="10">
        <f t="shared" si="1"/>
        <v>0</v>
      </c>
      <c r="Q15" s="10">
        <f t="shared" si="2"/>
        <v>0</v>
      </c>
      <c r="R15" s="10">
        <f t="shared" si="3"/>
        <v>0</v>
      </c>
      <c r="S15" s="10">
        <f t="shared" si="4"/>
        <v>-30</v>
      </c>
    </row>
    <row r="16" spans="1:22" ht="12.75" x14ac:dyDescent="0.2">
      <c r="A16" s="111" t="s">
        <v>110</v>
      </c>
      <c r="B16" s="112">
        <v>45138</v>
      </c>
      <c r="C16" s="111" t="s">
        <v>111</v>
      </c>
      <c r="D16" s="114">
        <v>920.86</v>
      </c>
      <c r="E16">
        <v>20</v>
      </c>
      <c r="K16" s="2"/>
      <c r="L16" s="112">
        <v>45138</v>
      </c>
      <c r="N16" s="15">
        <f t="shared" si="0"/>
        <v>45134</v>
      </c>
      <c r="O16" s="112">
        <v>45134</v>
      </c>
      <c r="P16" s="10">
        <f t="shared" si="1"/>
        <v>4</v>
      </c>
      <c r="Q16" s="10">
        <f t="shared" si="2"/>
        <v>0</v>
      </c>
      <c r="R16" s="10">
        <f t="shared" si="3"/>
        <v>4</v>
      </c>
      <c r="S16" s="10">
        <f t="shared" si="4"/>
        <v>-26</v>
      </c>
    </row>
    <row r="17" spans="1:19" ht="12.75" x14ac:dyDescent="0.2">
      <c r="A17" s="111" t="s">
        <v>112</v>
      </c>
      <c r="B17" s="112">
        <v>45139</v>
      </c>
      <c r="C17" s="111" t="s">
        <v>113</v>
      </c>
      <c r="D17" s="114">
        <v>60.5</v>
      </c>
      <c r="E17">
        <v>20</v>
      </c>
      <c r="K17" s="2"/>
      <c r="L17" s="112">
        <v>45139</v>
      </c>
      <c r="N17" s="15">
        <f t="shared" si="0"/>
        <v>45142</v>
      </c>
      <c r="O17" s="112">
        <v>45142</v>
      </c>
      <c r="P17" s="10">
        <f t="shared" si="1"/>
        <v>-3</v>
      </c>
      <c r="Q17" s="10">
        <f t="shared" si="2"/>
        <v>0</v>
      </c>
      <c r="R17" s="10">
        <f t="shared" si="3"/>
        <v>-3</v>
      </c>
      <c r="S17" s="10">
        <f t="shared" si="4"/>
        <v>-33</v>
      </c>
    </row>
    <row r="18" spans="1:19" ht="12.75" x14ac:dyDescent="0.2">
      <c r="A18" s="111" t="s">
        <v>114</v>
      </c>
      <c r="B18" s="112">
        <v>45139</v>
      </c>
      <c r="C18" s="111" t="s">
        <v>115</v>
      </c>
      <c r="D18" s="114">
        <v>205.7</v>
      </c>
      <c r="E18">
        <v>20</v>
      </c>
      <c r="K18" s="2"/>
      <c r="L18" s="112">
        <v>45140</v>
      </c>
      <c r="N18" s="15">
        <f t="shared" si="0"/>
        <v>45142</v>
      </c>
      <c r="O18" s="112">
        <v>45142</v>
      </c>
      <c r="P18" s="10">
        <f t="shared" si="1"/>
        <v>-2</v>
      </c>
      <c r="Q18" s="10">
        <f t="shared" si="2"/>
        <v>0</v>
      </c>
      <c r="R18" s="10">
        <f t="shared" si="3"/>
        <v>-2</v>
      </c>
      <c r="S18" s="10">
        <f t="shared" si="4"/>
        <v>-32</v>
      </c>
    </row>
    <row r="19" spans="1:19" ht="12.75" x14ac:dyDescent="0.2">
      <c r="A19" s="111" t="s">
        <v>116</v>
      </c>
      <c r="B19" s="112">
        <v>45170</v>
      </c>
      <c r="C19" s="111" t="s">
        <v>117</v>
      </c>
      <c r="D19" s="114">
        <v>205.7</v>
      </c>
      <c r="E19">
        <v>20</v>
      </c>
      <c r="K19" s="2"/>
      <c r="L19" s="112">
        <v>45170</v>
      </c>
      <c r="N19" s="15">
        <f t="shared" si="0"/>
        <v>45175</v>
      </c>
      <c r="O19" s="112">
        <v>45175</v>
      </c>
      <c r="P19" s="10">
        <f t="shared" si="1"/>
        <v>-5</v>
      </c>
      <c r="Q19" s="10">
        <f t="shared" si="2"/>
        <v>0</v>
      </c>
      <c r="R19" s="10">
        <f t="shared" si="3"/>
        <v>-5</v>
      </c>
      <c r="S19" s="10">
        <f t="shared" si="4"/>
        <v>-35</v>
      </c>
    </row>
    <row r="20" spans="1:19" ht="12.75" x14ac:dyDescent="0.2">
      <c r="A20" s="111" t="s">
        <v>118</v>
      </c>
      <c r="B20" s="112">
        <v>45170</v>
      </c>
      <c r="C20" s="111" t="s">
        <v>119</v>
      </c>
      <c r="D20" s="114">
        <v>60.5</v>
      </c>
      <c r="E20">
        <v>20</v>
      </c>
      <c r="K20" s="2"/>
      <c r="L20" s="112">
        <v>45170</v>
      </c>
      <c r="N20" s="15">
        <f t="shared" si="0"/>
        <v>45175</v>
      </c>
      <c r="O20" s="112">
        <v>45175</v>
      </c>
      <c r="P20" s="10">
        <f t="shared" si="1"/>
        <v>-5</v>
      </c>
      <c r="Q20" s="10">
        <f t="shared" si="2"/>
        <v>0</v>
      </c>
      <c r="R20" s="10">
        <f t="shared" si="3"/>
        <v>-5</v>
      </c>
      <c r="S20" s="10">
        <f t="shared" si="4"/>
        <v>-35</v>
      </c>
    </row>
    <row r="21" spans="1:19" ht="12.75" x14ac:dyDescent="0.2">
      <c r="A21" s="111" t="s">
        <v>120</v>
      </c>
      <c r="B21" s="112">
        <v>45170</v>
      </c>
      <c r="C21" s="111" t="s">
        <v>121</v>
      </c>
      <c r="D21" s="114">
        <v>834.15</v>
      </c>
      <c r="E21">
        <v>20</v>
      </c>
      <c r="K21" s="2"/>
      <c r="L21" s="112">
        <v>45170</v>
      </c>
      <c r="N21" s="15">
        <f t="shared" si="0"/>
        <v>45184</v>
      </c>
      <c r="O21" s="112">
        <v>45184</v>
      </c>
      <c r="P21" s="10">
        <f t="shared" si="1"/>
        <v>-14</v>
      </c>
      <c r="Q21" s="10">
        <f t="shared" si="2"/>
        <v>0</v>
      </c>
      <c r="R21" s="10">
        <f t="shared" si="3"/>
        <v>-14</v>
      </c>
      <c r="S21" s="10">
        <f t="shared" si="4"/>
        <v>-44</v>
      </c>
    </row>
    <row r="22" spans="1:19" ht="12.75" x14ac:dyDescent="0.2">
      <c r="A22" s="111" t="s">
        <v>122</v>
      </c>
      <c r="B22" s="112">
        <v>45183</v>
      </c>
      <c r="C22" s="111" t="s">
        <v>123</v>
      </c>
      <c r="D22" s="114">
        <v>1087.32</v>
      </c>
      <c r="E22">
        <v>20</v>
      </c>
      <c r="K22" s="2"/>
      <c r="L22" s="112">
        <v>45183</v>
      </c>
      <c r="N22" s="15">
        <f t="shared" si="0"/>
        <v>45184</v>
      </c>
      <c r="O22" s="112">
        <v>45184</v>
      </c>
      <c r="P22" s="10">
        <f t="shared" si="1"/>
        <v>-1</v>
      </c>
      <c r="Q22" s="10">
        <f t="shared" si="2"/>
        <v>0</v>
      </c>
      <c r="R22" s="10">
        <f t="shared" si="3"/>
        <v>-1</v>
      </c>
      <c r="S22" s="10">
        <f t="shared" si="4"/>
        <v>-31</v>
      </c>
    </row>
    <row r="23" spans="1:19" ht="12.75" x14ac:dyDescent="0.2">
      <c r="A23" s="111" t="s">
        <v>124</v>
      </c>
      <c r="B23" s="112">
        <v>45112</v>
      </c>
      <c r="C23" s="111" t="s">
        <v>125</v>
      </c>
      <c r="D23" s="114">
        <v>344.85</v>
      </c>
      <c r="E23">
        <v>21</v>
      </c>
      <c r="K23" s="2"/>
      <c r="L23" s="112">
        <v>45112</v>
      </c>
      <c r="N23" s="15">
        <f t="shared" si="0"/>
        <v>45125</v>
      </c>
      <c r="O23" s="112">
        <v>45125</v>
      </c>
      <c r="P23" s="10">
        <f t="shared" si="1"/>
        <v>-13</v>
      </c>
      <c r="Q23" s="10">
        <f t="shared" si="2"/>
        <v>0</v>
      </c>
      <c r="R23" s="10">
        <f t="shared" si="3"/>
        <v>-13</v>
      </c>
      <c r="S23" s="10">
        <f t="shared" si="4"/>
        <v>-43</v>
      </c>
    </row>
    <row r="24" spans="1:19" ht="12.75" x14ac:dyDescent="0.2">
      <c r="A24" s="111" t="s">
        <v>126</v>
      </c>
      <c r="B24" s="112">
        <v>45121</v>
      </c>
      <c r="C24" s="111" t="s">
        <v>127</v>
      </c>
      <c r="D24" s="114">
        <v>184.6</v>
      </c>
      <c r="E24">
        <v>21</v>
      </c>
      <c r="K24" s="2"/>
      <c r="L24" s="112">
        <v>45121</v>
      </c>
      <c r="N24" s="15">
        <f t="shared" si="0"/>
        <v>45125</v>
      </c>
      <c r="O24" s="112">
        <v>45125</v>
      </c>
      <c r="P24" s="10">
        <f t="shared" si="1"/>
        <v>-4</v>
      </c>
      <c r="Q24" s="10">
        <f t="shared" si="2"/>
        <v>0</v>
      </c>
      <c r="R24" s="10">
        <f t="shared" si="3"/>
        <v>-4</v>
      </c>
      <c r="S24" s="10">
        <f t="shared" si="4"/>
        <v>-34</v>
      </c>
    </row>
    <row r="25" spans="1:19" ht="12.75" x14ac:dyDescent="0.2">
      <c r="A25" s="111" t="s">
        <v>128</v>
      </c>
      <c r="B25" s="112">
        <v>45125</v>
      </c>
      <c r="C25" s="111" t="s">
        <v>129</v>
      </c>
      <c r="D25" s="114">
        <v>782.05</v>
      </c>
      <c r="E25">
        <v>21</v>
      </c>
      <c r="K25" s="2"/>
      <c r="L25" s="112">
        <v>45125</v>
      </c>
      <c r="N25" s="15">
        <f t="shared" si="0"/>
        <v>45156</v>
      </c>
      <c r="O25" s="112">
        <v>45156</v>
      </c>
      <c r="P25" s="10">
        <f t="shared" si="1"/>
        <v>-31</v>
      </c>
      <c r="Q25" s="10">
        <f t="shared" si="2"/>
        <v>0</v>
      </c>
      <c r="R25" s="10">
        <f t="shared" si="3"/>
        <v>-31</v>
      </c>
      <c r="S25" s="10">
        <f t="shared" si="4"/>
        <v>-61</v>
      </c>
    </row>
    <row r="26" spans="1:19" ht="12.75" x14ac:dyDescent="0.2">
      <c r="A26" s="111" t="s">
        <v>130</v>
      </c>
      <c r="B26" s="112">
        <v>45120</v>
      </c>
      <c r="C26" s="111" t="s">
        <v>131</v>
      </c>
      <c r="D26" s="114">
        <v>219.3</v>
      </c>
      <c r="E26">
        <v>21</v>
      </c>
      <c r="K26" s="2"/>
      <c r="L26" s="112">
        <v>45120</v>
      </c>
      <c r="N26" s="15">
        <f t="shared" si="0"/>
        <v>45134</v>
      </c>
      <c r="O26" s="112">
        <v>45134</v>
      </c>
      <c r="P26" s="10">
        <f t="shared" si="1"/>
        <v>-14</v>
      </c>
      <c r="Q26" s="10">
        <f t="shared" si="2"/>
        <v>0</v>
      </c>
      <c r="R26" s="10">
        <f t="shared" si="3"/>
        <v>-14</v>
      </c>
      <c r="S26" s="10">
        <f t="shared" si="4"/>
        <v>-44</v>
      </c>
    </row>
    <row r="27" spans="1:19" ht="12.75" x14ac:dyDescent="0.2">
      <c r="A27" s="111" t="s">
        <v>132</v>
      </c>
      <c r="B27" s="112">
        <v>45108</v>
      </c>
      <c r="C27" s="111" t="s">
        <v>133</v>
      </c>
      <c r="D27" s="114">
        <v>18.14</v>
      </c>
      <c r="E27">
        <v>21</v>
      </c>
      <c r="K27" s="2"/>
      <c r="L27" s="112">
        <v>45108</v>
      </c>
      <c r="N27" s="15">
        <f t="shared" si="0"/>
        <v>45112</v>
      </c>
      <c r="O27" s="112">
        <v>45112</v>
      </c>
      <c r="P27" s="10">
        <f t="shared" si="1"/>
        <v>-4</v>
      </c>
      <c r="Q27" s="10">
        <f t="shared" si="2"/>
        <v>0</v>
      </c>
      <c r="R27" s="10">
        <f t="shared" si="3"/>
        <v>-4</v>
      </c>
      <c r="S27" s="10">
        <f t="shared" si="4"/>
        <v>-34</v>
      </c>
    </row>
    <row r="28" spans="1:19" ht="12.75" x14ac:dyDescent="0.2">
      <c r="A28" s="111" t="s">
        <v>134</v>
      </c>
      <c r="B28" s="112">
        <v>45140</v>
      </c>
      <c r="C28" s="111" t="s">
        <v>135</v>
      </c>
      <c r="D28" s="114">
        <v>1197.5999999999999</v>
      </c>
      <c r="E28">
        <v>21</v>
      </c>
      <c r="K28" s="2"/>
      <c r="L28" s="112">
        <v>45140</v>
      </c>
      <c r="N28" s="15">
        <f t="shared" si="0"/>
        <v>45168</v>
      </c>
      <c r="O28" s="112">
        <v>45168</v>
      </c>
      <c r="P28" s="10">
        <f t="shared" si="1"/>
        <v>-28</v>
      </c>
      <c r="Q28" s="10">
        <f t="shared" si="2"/>
        <v>0</v>
      </c>
      <c r="R28" s="10">
        <f t="shared" si="3"/>
        <v>-28</v>
      </c>
      <c r="S28" s="10">
        <f t="shared" si="4"/>
        <v>-58</v>
      </c>
    </row>
    <row r="29" spans="1:19" ht="12.75" x14ac:dyDescent="0.2">
      <c r="A29" s="111" t="s">
        <v>136</v>
      </c>
      <c r="B29" s="112">
        <v>45155</v>
      </c>
      <c r="C29" s="111" t="s">
        <v>137</v>
      </c>
      <c r="D29" s="114">
        <v>184.6</v>
      </c>
      <c r="E29">
        <v>21</v>
      </c>
      <c r="K29" s="2"/>
      <c r="L29" s="112">
        <v>45155</v>
      </c>
      <c r="N29" s="15">
        <f t="shared" si="0"/>
        <v>45168</v>
      </c>
      <c r="O29" s="112">
        <v>45168</v>
      </c>
      <c r="P29" s="10">
        <f t="shared" si="1"/>
        <v>-13</v>
      </c>
      <c r="Q29" s="10">
        <f t="shared" si="2"/>
        <v>0</v>
      </c>
      <c r="R29" s="10">
        <f t="shared" si="3"/>
        <v>-13</v>
      </c>
      <c r="S29" s="10">
        <f t="shared" si="4"/>
        <v>-43</v>
      </c>
    </row>
    <row r="30" spans="1:19" ht="12.75" x14ac:dyDescent="0.2">
      <c r="A30" s="111" t="s">
        <v>138</v>
      </c>
      <c r="B30" s="112">
        <v>45140</v>
      </c>
      <c r="C30" s="111" t="s">
        <v>139</v>
      </c>
      <c r="D30" s="114">
        <v>580.79999999999995</v>
      </c>
      <c r="E30">
        <v>21</v>
      </c>
      <c r="K30" s="2"/>
      <c r="L30" s="112">
        <v>45140</v>
      </c>
      <c r="N30" s="15">
        <f t="shared" si="0"/>
        <v>45168</v>
      </c>
      <c r="O30" s="112">
        <v>45168</v>
      </c>
      <c r="P30" s="10">
        <f t="shared" si="1"/>
        <v>-28</v>
      </c>
      <c r="Q30" s="10">
        <f t="shared" si="2"/>
        <v>0</v>
      </c>
      <c r="R30" s="10">
        <f t="shared" si="3"/>
        <v>-28</v>
      </c>
      <c r="S30" s="10">
        <f t="shared" si="4"/>
        <v>-58</v>
      </c>
    </row>
    <row r="31" spans="1:19" ht="12.75" x14ac:dyDescent="0.2">
      <c r="A31" s="111" t="s">
        <v>140</v>
      </c>
      <c r="B31" s="112">
        <v>45133</v>
      </c>
      <c r="C31" s="111" t="s">
        <v>141</v>
      </c>
      <c r="D31" s="114">
        <v>476.57</v>
      </c>
      <c r="E31">
        <v>21</v>
      </c>
      <c r="K31" s="2"/>
      <c r="L31" s="112">
        <v>45133</v>
      </c>
      <c r="N31" s="15">
        <f t="shared" si="0"/>
        <v>45163</v>
      </c>
      <c r="O31" s="112">
        <v>45163</v>
      </c>
      <c r="P31" s="10">
        <f t="shared" si="1"/>
        <v>-30</v>
      </c>
      <c r="Q31" s="10">
        <f t="shared" si="2"/>
        <v>0</v>
      </c>
      <c r="R31" s="10">
        <f t="shared" si="3"/>
        <v>-30</v>
      </c>
      <c r="S31" s="10">
        <f t="shared" si="4"/>
        <v>-60</v>
      </c>
    </row>
    <row r="32" spans="1:19" ht="12.75" x14ac:dyDescent="0.2">
      <c r="A32" s="111" t="s">
        <v>142</v>
      </c>
      <c r="B32" s="112">
        <v>45161</v>
      </c>
      <c r="C32" s="111" t="s">
        <v>143</v>
      </c>
      <c r="D32" s="114">
        <v>758.69</v>
      </c>
      <c r="E32">
        <v>21</v>
      </c>
      <c r="K32" s="2"/>
      <c r="L32" s="112">
        <v>45161</v>
      </c>
      <c r="N32" s="15">
        <f t="shared" si="0"/>
        <v>45194</v>
      </c>
      <c r="O32" s="112">
        <v>45194</v>
      </c>
      <c r="P32" s="10">
        <f t="shared" si="1"/>
        <v>-33</v>
      </c>
      <c r="Q32" s="10">
        <f t="shared" si="2"/>
        <v>0</v>
      </c>
      <c r="R32" s="10">
        <f t="shared" si="3"/>
        <v>-33</v>
      </c>
      <c r="S32" s="10">
        <f t="shared" si="4"/>
        <v>-63</v>
      </c>
    </row>
    <row r="33" spans="1:19" ht="12.75" x14ac:dyDescent="0.2">
      <c r="A33" s="111" t="s">
        <v>144</v>
      </c>
      <c r="B33" s="112">
        <v>45159</v>
      </c>
      <c r="C33" s="111" t="s">
        <v>145</v>
      </c>
      <c r="D33" s="114">
        <v>77.44</v>
      </c>
      <c r="E33">
        <v>21</v>
      </c>
      <c r="K33" s="2"/>
      <c r="L33" s="112">
        <v>45159</v>
      </c>
      <c r="N33" s="15">
        <f t="shared" si="0"/>
        <v>45162</v>
      </c>
      <c r="O33" s="112">
        <v>45162</v>
      </c>
      <c r="P33" s="10">
        <f t="shared" si="1"/>
        <v>-3</v>
      </c>
      <c r="Q33" s="10">
        <f t="shared" si="2"/>
        <v>0</v>
      </c>
      <c r="R33" s="10">
        <f t="shared" si="3"/>
        <v>-3</v>
      </c>
      <c r="S33" s="10">
        <f t="shared" si="4"/>
        <v>-33</v>
      </c>
    </row>
    <row r="34" spans="1:19" ht="12.75" x14ac:dyDescent="0.2">
      <c r="A34" s="111" t="s">
        <v>146</v>
      </c>
      <c r="B34" s="112">
        <v>45163</v>
      </c>
      <c r="C34" s="111" t="s">
        <v>147</v>
      </c>
      <c r="D34" s="114">
        <v>285.98</v>
      </c>
      <c r="E34">
        <v>21</v>
      </c>
      <c r="K34" s="2"/>
      <c r="L34" s="112">
        <v>45163</v>
      </c>
      <c r="N34" s="15">
        <f t="shared" si="0"/>
        <v>45168</v>
      </c>
      <c r="O34" s="112">
        <v>45168</v>
      </c>
      <c r="P34" s="10">
        <f t="shared" si="1"/>
        <v>-5</v>
      </c>
      <c r="Q34" s="10">
        <f t="shared" si="2"/>
        <v>0</v>
      </c>
      <c r="R34" s="10">
        <f t="shared" si="3"/>
        <v>-5</v>
      </c>
      <c r="S34" s="10">
        <f t="shared" si="4"/>
        <v>-35</v>
      </c>
    </row>
    <row r="35" spans="1:19" ht="12.75" x14ac:dyDescent="0.2">
      <c r="A35" s="111" t="s">
        <v>148</v>
      </c>
      <c r="B35" s="112">
        <v>45166</v>
      </c>
      <c r="C35" s="111" t="s">
        <v>149</v>
      </c>
      <c r="D35" s="114">
        <v>1608.16</v>
      </c>
      <c r="E35">
        <v>21</v>
      </c>
      <c r="K35" s="2"/>
      <c r="L35" s="112">
        <v>45166</v>
      </c>
      <c r="N35" s="15">
        <f t="shared" si="0"/>
        <v>45168</v>
      </c>
      <c r="O35" s="112">
        <v>45168</v>
      </c>
      <c r="P35" s="10">
        <f t="shared" si="1"/>
        <v>-2</v>
      </c>
      <c r="Q35" s="10">
        <f t="shared" si="2"/>
        <v>0</v>
      </c>
      <c r="R35" s="10">
        <f t="shared" si="3"/>
        <v>-2</v>
      </c>
      <c r="S35" s="10">
        <f t="shared" si="4"/>
        <v>-32</v>
      </c>
    </row>
    <row r="36" spans="1:19" ht="12.75" x14ac:dyDescent="0.2">
      <c r="A36" s="111" t="s">
        <v>150</v>
      </c>
      <c r="B36" s="112">
        <v>45169</v>
      </c>
      <c r="C36" s="111" t="s">
        <v>151</v>
      </c>
      <c r="D36" s="114">
        <v>196</v>
      </c>
      <c r="E36">
        <v>21</v>
      </c>
      <c r="K36" s="2"/>
      <c r="L36" s="112">
        <v>45139</v>
      </c>
      <c r="N36" s="15">
        <f t="shared" si="0"/>
        <v>45174</v>
      </c>
      <c r="O36" s="112">
        <v>45174</v>
      </c>
      <c r="P36" s="10">
        <f t="shared" si="1"/>
        <v>-35</v>
      </c>
      <c r="Q36" s="10">
        <f t="shared" si="2"/>
        <v>0</v>
      </c>
      <c r="R36" s="10">
        <f t="shared" si="3"/>
        <v>-35</v>
      </c>
      <c r="S36" s="10">
        <f t="shared" si="4"/>
        <v>-65</v>
      </c>
    </row>
    <row r="37" spans="1:19" ht="12.75" x14ac:dyDescent="0.2">
      <c r="A37" s="111" t="s">
        <v>152</v>
      </c>
      <c r="B37" s="112">
        <v>45166</v>
      </c>
      <c r="C37" s="111" t="s">
        <v>153</v>
      </c>
      <c r="D37" s="114">
        <v>118.93</v>
      </c>
      <c r="E37">
        <v>21</v>
      </c>
      <c r="K37" s="2"/>
      <c r="L37" s="112">
        <v>45166</v>
      </c>
      <c r="N37" s="15">
        <f t="shared" si="0"/>
        <v>45196</v>
      </c>
      <c r="O37" s="112">
        <v>45196</v>
      </c>
      <c r="P37" s="10">
        <f t="shared" si="1"/>
        <v>-30</v>
      </c>
      <c r="Q37" s="10">
        <f t="shared" si="2"/>
        <v>0</v>
      </c>
      <c r="R37" s="10">
        <f t="shared" si="3"/>
        <v>-30</v>
      </c>
      <c r="S37" s="10">
        <f t="shared" si="4"/>
        <v>-60</v>
      </c>
    </row>
    <row r="38" spans="1:19" ht="12.75" x14ac:dyDescent="0.2">
      <c r="A38" s="111" t="s">
        <v>154</v>
      </c>
      <c r="B38" s="112">
        <v>45177</v>
      </c>
      <c r="C38" s="111" t="s">
        <v>155</v>
      </c>
      <c r="D38" s="114">
        <v>60.69</v>
      </c>
      <c r="E38">
        <v>21</v>
      </c>
      <c r="K38" s="2"/>
      <c r="L38" s="112">
        <v>45177</v>
      </c>
      <c r="N38" s="15">
        <f t="shared" si="0"/>
        <v>45176</v>
      </c>
      <c r="O38" s="112">
        <v>45176</v>
      </c>
      <c r="P38" s="10">
        <f t="shared" si="1"/>
        <v>1</v>
      </c>
      <c r="Q38" s="10">
        <f t="shared" si="2"/>
        <v>0</v>
      </c>
      <c r="R38" s="10">
        <f t="shared" si="3"/>
        <v>1</v>
      </c>
      <c r="S38" s="10">
        <f t="shared" si="4"/>
        <v>-29</v>
      </c>
    </row>
    <row r="39" spans="1:19" ht="12.75" x14ac:dyDescent="0.2">
      <c r="A39" s="111" t="s">
        <v>156</v>
      </c>
      <c r="B39" s="112">
        <v>45177</v>
      </c>
      <c r="C39" s="111" t="s">
        <v>157</v>
      </c>
      <c r="D39" s="114">
        <v>79.19</v>
      </c>
      <c r="E39">
        <v>21</v>
      </c>
      <c r="K39" s="2"/>
      <c r="L39" s="112">
        <v>45177</v>
      </c>
      <c r="N39" s="15">
        <f t="shared" si="0"/>
        <v>45176</v>
      </c>
      <c r="O39" s="112">
        <v>45176</v>
      </c>
      <c r="P39" s="10">
        <f t="shared" si="1"/>
        <v>1</v>
      </c>
      <c r="Q39" s="10">
        <f t="shared" si="2"/>
        <v>0</v>
      </c>
      <c r="R39" s="10">
        <f t="shared" si="3"/>
        <v>1</v>
      </c>
      <c r="S39" s="10">
        <f t="shared" si="4"/>
        <v>-29</v>
      </c>
    </row>
    <row r="40" spans="1:19" ht="12.75" x14ac:dyDescent="0.2">
      <c r="A40" s="111" t="s">
        <v>158</v>
      </c>
      <c r="B40" s="112">
        <v>45183</v>
      </c>
      <c r="C40" s="111" t="s">
        <v>159</v>
      </c>
      <c r="D40" s="114">
        <v>2537.08</v>
      </c>
      <c r="E40">
        <v>21</v>
      </c>
      <c r="K40" s="2"/>
      <c r="L40" s="112">
        <v>45183</v>
      </c>
      <c r="N40" s="15">
        <f t="shared" si="0"/>
        <v>45184</v>
      </c>
      <c r="O40" s="112">
        <v>45184</v>
      </c>
      <c r="P40" s="10">
        <f t="shared" si="1"/>
        <v>-1</v>
      </c>
      <c r="Q40" s="10">
        <f t="shared" si="2"/>
        <v>0</v>
      </c>
      <c r="R40" s="10">
        <f t="shared" si="3"/>
        <v>-1</v>
      </c>
      <c r="S40" s="10">
        <f t="shared" si="4"/>
        <v>-31</v>
      </c>
    </row>
    <row r="41" spans="1:19" ht="12.75" x14ac:dyDescent="0.2">
      <c r="A41" s="111" t="s">
        <v>160</v>
      </c>
      <c r="B41" s="112">
        <v>45182</v>
      </c>
      <c r="C41" s="111" t="s">
        <v>161</v>
      </c>
      <c r="D41" s="114">
        <v>49.39</v>
      </c>
      <c r="E41">
        <v>21</v>
      </c>
      <c r="K41" s="2"/>
      <c r="L41" s="112">
        <v>45182</v>
      </c>
      <c r="N41" s="15">
        <f t="shared" si="0"/>
        <v>45189</v>
      </c>
      <c r="O41" s="112">
        <v>45189</v>
      </c>
      <c r="P41" s="10">
        <f t="shared" si="1"/>
        <v>-7</v>
      </c>
      <c r="Q41" s="10">
        <f t="shared" si="2"/>
        <v>0</v>
      </c>
      <c r="R41" s="10">
        <f t="shared" si="3"/>
        <v>-7</v>
      </c>
      <c r="S41" s="10">
        <f t="shared" si="4"/>
        <v>-37</v>
      </c>
    </row>
    <row r="42" spans="1:19" ht="12.75" x14ac:dyDescent="0.2">
      <c r="A42" s="111" t="s">
        <v>162</v>
      </c>
      <c r="B42" s="112">
        <v>45182</v>
      </c>
      <c r="C42" s="111" t="s">
        <v>163</v>
      </c>
      <c r="D42" s="114">
        <v>161.91</v>
      </c>
      <c r="E42">
        <v>21</v>
      </c>
      <c r="K42" s="2"/>
      <c r="L42" s="112">
        <v>45182</v>
      </c>
      <c r="N42" s="15">
        <f t="shared" si="0"/>
        <v>45189</v>
      </c>
      <c r="O42" s="112">
        <v>45189</v>
      </c>
      <c r="P42" s="10">
        <f t="shared" si="1"/>
        <v>-7</v>
      </c>
      <c r="Q42" s="10">
        <f t="shared" si="2"/>
        <v>0</v>
      </c>
      <c r="R42" s="10">
        <f t="shared" si="3"/>
        <v>-7</v>
      </c>
      <c r="S42" s="10">
        <f t="shared" si="4"/>
        <v>-37</v>
      </c>
    </row>
    <row r="43" spans="1:19" ht="12.75" x14ac:dyDescent="0.2">
      <c r="A43" s="111" t="s">
        <v>164</v>
      </c>
      <c r="B43" s="112">
        <v>45182</v>
      </c>
      <c r="C43" s="111" t="s">
        <v>165</v>
      </c>
      <c r="D43" s="114">
        <v>150.25</v>
      </c>
      <c r="E43">
        <v>21</v>
      </c>
      <c r="K43" s="2"/>
      <c r="L43" s="112">
        <v>45182</v>
      </c>
      <c r="N43" s="15">
        <f t="shared" si="0"/>
        <v>45189</v>
      </c>
      <c r="O43" s="112">
        <v>45189</v>
      </c>
      <c r="P43" s="10">
        <f t="shared" si="1"/>
        <v>-7</v>
      </c>
      <c r="Q43" s="10">
        <f t="shared" si="2"/>
        <v>0</v>
      </c>
      <c r="R43" s="10">
        <f t="shared" si="3"/>
        <v>-7</v>
      </c>
      <c r="S43" s="10">
        <f t="shared" si="4"/>
        <v>-37</v>
      </c>
    </row>
    <row r="44" spans="1:19" ht="12.75" x14ac:dyDescent="0.2">
      <c r="A44" s="111" t="s">
        <v>166</v>
      </c>
      <c r="B44" s="112">
        <v>45187</v>
      </c>
      <c r="C44" s="111" t="s">
        <v>167</v>
      </c>
      <c r="D44" s="114">
        <v>184.6</v>
      </c>
      <c r="E44">
        <v>21</v>
      </c>
      <c r="K44" s="2"/>
      <c r="L44" s="112">
        <v>45187</v>
      </c>
      <c r="N44" s="15">
        <f t="shared" si="0"/>
        <v>45197</v>
      </c>
      <c r="O44" s="112">
        <v>45197</v>
      </c>
      <c r="P44" s="10">
        <f t="shared" si="1"/>
        <v>-10</v>
      </c>
      <c r="Q44" s="10">
        <f t="shared" si="2"/>
        <v>0</v>
      </c>
      <c r="R44" s="10">
        <f t="shared" si="3"/>
        <v>-10</v>
      </c>
      <c r="S44" s="10">
        <f t="shared" si="4"/>
        <v>-40</v>
      </c>
    </row>
    <row r="45" spans="1:19" ht="12.75" x14ac:dyDescent="0.2">
      <c r="A45" s="111" t="s">
        <v>168</v>
      </c>
      <c r="B45" s="112">
        <v>45189</v>
      </c>
      <c r="C45" s="111" t="s">
        <v>169</v>
      </c>
      <c r="D45" s="114">
        <v>8.23</v>
      </c>
      <c r="E45">
        <v>21</v>
      </c>
      <c r="K45" s="2"/>
      <c r="L45" s="112">
        <v>45189</v>
      </c>
      <c r="N45" s="15">
        <f t="shared" si="0"/>
        <v>45194</v>
      </c>
      <c r="O45" s="112">
        <v>45194</v>
      </c>
      <c r="P45" s="10">
        <f t="shared" si="1"/>
        <v>-5</v>
      </c>
      <c r="Q45" s="10">
        <f t="shared" si="2"/>
        <v>0</v>
      </c>
      <c r="R45" s="10">
        <f t="shared" si="3"/>
        <v>-5</v>
      </c>
      <c r="S45" s="10">
        <f t="shared" si="4"/>
        <v>-35</v>
      </c>
    </row>
    <row r="46" spans="1:19" ht="12.75" x14ac:dyDescent="0.2">
      <c r="A46" s="111" t="s">
        <v>170</v>
      </c>
      <c r="B46" s="112">
        <v>45118</v>
      </c>
      <c r="C46" s="111" t="s">
        <v>171</v>
      </c>
      <c r="D46" s="114">
        <v>272.14999999999998</v>
      </c>
      <c r="E46">
        <v>22</v>
      </c>
      <c r="K46" s="2"/>
      <c r="L46" s="112">
        <v>45118</v>
      </c>
      <c r="N46" s="15">
        <f t="shared" si="0"/>
        <v>45126</v>
      </c>
      <c r="O46" s="112">
        <v>45126</v>
      </c>
      <c r="P46" s="10">
        <f t="shared" si="1"/>
        <v>-8</v>
      </c>
      <c r="Q46" s="10">
        <f t="shared" si="2"/>
        <v>0</v>
      </c>
      <c r="R46" s="10">
        <f t="shared" si="3"/>
        <v>-8</v>
      </c>
      <c r="S46" s="10">
        <f t="shared" si="4"/>
        <v>-38</v>
      </c>
    </row>
    <row r="47" spans="1:19" ht="12.75" x14ac:dyDescent="0.2">
      <c r="A47" s="111" t="s">
        <v>172</v>
      </c>
      <c r="B47" s="112">
        <v>45117</v>
      </c>
      <c r="C47" s="111" t="s">
        <v>173</v>
      </c>
      <c r="D47" s="114">
        <v>387.1</v>
      </c>
      <c r="E47">
        <v>22</v>
      </c>
      <c r="K47" s="2"/>
      <c r="L47" s="112">
        <v>45117</v>
      </c>
      <c r="N47" s="15">
        <f t="shared" si="0"/>
        <v>45147</v>
      </c>
      <c r="O47" s="112">
        <v>45147</v>
      </c>
      <c r="P47" s="10">
        <f t="shared" si="1"/>
        <v>-30</v>
      </c>
      <c r="Q47" s="10">
        <f t="shared" si="2"/>
        <v>0</v>
      </c>
      <c r="R47" s="10">
        <f t="shared" si="3"/>
        <v>-30</v>
      </c>
      <c r="S47" s="10">
        <f t="shared" si="4"/>
        <v>-60</v>
      </c>
    </row>
    <row r="48" spans="1:19" ht="12.75" x14ac:dyDescent="0.2">
      <c r="A48" s="111" t="s">
        <v>174</v>
      </c>
      <c r="B48" s="112">
        <v>45121</v>
      </c>
      <c r="C48" s="111" t="s">
        <v>175</v>
      </c>
      <c r="D48" s="114">
        <v>8822.5300000000007</v>
      </c>
      <c r="E48">
        <v>22</v>
      </c>
      <c r="K48" s="2"/>
      <c r="L48" s="112">
        <v>45121</v>
      </c>
      <c r="N48" s="15">
        <f t="shared" si="0"/>
        <v>45134</v>
      </c>
      <c r="O48" s="112">
        <v>45134</v>
      </c>
      <c r="P48" s="10">
        <f t="shared" si="1"/>
        <v>-13</v>
      </c>
      <c r="Q48" s="10">
        <f t="shared" si="2"/>
        <v>0</v>
      </c>
      <c r="R48" s="10">
        <f t="shared" si="3"/>
        <v>-13</v>
      </c>
      <c r="S48" s="10">
        <f t="shared" si="4"/>
        <v>-43</v>
      </c>
    </row>
    <row r="49" spans="1:19" ht="12.75" x14ac:dyDescent="0.2">
      <c r="A49" s="111" t="s">
        <v>176</v>
      </c>
      <c r="B49" s="112">
        <v>45120</v>
      </c>
      <c r="C49" s="111" t="s">
        <v>177</v>
      </c>
      <c r="D49" s="114">
        <v>20.63</v>
      </c>
      <c r="E49">
        <v>22</v>
      </c>
      <c r="K49" s="2"/>
      <c r="L49" s="112">
        <v>45120</v>
      </c>
      <c r="N49" s="15">
        <f t="shared" si="0"/>
        <v>45125</v>
      </c>
      <c r="O49" s="112">
        <v>45125</v>
      </c>
      <c r="P49" s="10">
        <f t="shared" si="1"/>
        <v>-5</v>
      </c>
      <c r="Q49" s="10">
        <f t="shared" si="2"/>
        <v>0</v>
      </c>
      <c r="R49" s="10">
        <f t="shared" si="3"/>
        <v>-5</v>
      </c>
      <c r="S49" s="10">
        <f t="shared" si="4"/>
        <v>-35</v>
      </c>
    </row>
    <row r="50" spans="1:19" ht="12.75" x14ac:dyDescent="0.2">
      <c r="A50" s="111" t="s">
        <v>178</v>
      </c>
      <c r="B50" s="112">
        <v>45127</v>
      </c>
      <c r="C50" s="111" t="s">
        <v>179</v>
      </c>
      <c r="D50" s="114">
        <v>19.77</v>
      </c>
      <c r="E50">
        <v>22</v>
      </c>
      <c r="K50" s="2"/>
      <c r="L50" s="112">
        <v>45127</v>
      </c>
      <c r="N50" s="15">
        <f t="shared" si="0"/>
        <v>45145</v>
      </c>
      <c r="O50" s="112">
        <v>45145</v>
      </c>
      <c r="P50" s="10">
        <f t="shared" si="1"/>
        <v>-18</v>
      </c>
      <c r="Q50" s="10">
        <f t="shared" si="2"/>
        <v>0</v>
      </c>
      <c r="R50" s="10">
        <f t="shared" si="3"/>
        <v>-18</v>
      </c>
      <c r="S50" s="10">
        <f t="shared" si="4"/>
        <v>-48</v>
      </c>
    </row>
    <row r="51" spans="1:19" ht="12.75" x14ac:dyDescent="0.2">
      <c r="A51" s="111" t="s">
        <v>180</v>
      </c>
      <c r="B51" s="112">
        <v>45131</v>
      </c>
      <c r="C51" s="111" t="s">
        <v>181</v>
      </c>
      <c r="D51" s="114">
        <v>77.290000000000006</v>
      </c>
      <c r="E51">
        <v>22</v>
      </c>
      <c r="K51" s="2"/>
      <c r="L51" s="112">
        <v>45131</v>
      </c>
      <c r="N51" s="15">
        <f t="shared" si="0"/>
        <v>45161</v>
      </c>
      <c r="O51" s="112">
        <v>45161</v>
      </c>
      <c r="P51" s="10">
        <f t="shared" si="1"/>
        <v>-30</v>
      </c>
      <c r="Q51" s="10">
        <f t="shared" si="2"/>
        <v>0</v>
      </c>
      <c r="R51" s="10">
        <f t="shared" si="3"/>
        <v>-30</v>
      </c>
      <c r="S51" s="10">
        <f t="shared" si="4"/>
        <v>-60</v>
      </c>
    </row>
    <row r="52" spans="1:19" ht="12.75" x14ac:dyDescent="0.2">
      <c r="A52" s="111" t="s">
        <v>182</v>
      </c>
      <c r="B52" s="112">
        <v>45134</v>
      </c>
      <c r="C52" s="111" t="s">
        <v>183</v>
      </c>
      <c r="D52" s="114">
        <v>150.77000000000001</v>
      </c>
      <c r="E52">
        <v>22</v>
      </c>
      <c r="K52" s="2"/>
      <c r="L52" s="112">
        <v>45134</v>
      </c>
      <c r="N52" s="15">
        <f t="shared" si="0"/>
        <v>45135</v>
      </c>
      <c r="O52" s="112">
        <v>45135</v>
      </c>
      <c r="P52" s="10">
        <f t="shared" si="1"/>
        <v>-1</v>
      </c>
      <c r="Q52" s="10">
        <f t="shared" si="2"/>
        <v>0</v>
      </c>
      <c r="R52" s="10">
        <f t="shared" si="3"/>
        <v>-1</v>
      </c>
      <c r="S52" s="10">
        <f t="shared" si="4"/>
        <v>-31</v>
      </c>
    </row>
    <row r="53" spans="1:19" ht="12.75" x14ac:dyDescent="0.2">
      <c r="A53" s="111" t="s">
        <v>184</v>
      </c>
      <c r="B53" s="112">
        <v>45134</v>
      </c>
      <c r="C53" s="111" t="s">
        <v>185</v>
      </c>
      <c r="D53" s="114">
        <v>13.02</v>
      </c>
      <c r="E53">
        <v>22</v>
      </c>
      <c r="K53" s="2"/>
      <c r="L53" s="112">
        <v>45134</v>
      </c>
      <c r="N53" s="15">
        <f t="shared" si="0"/>
        <v>45145</v>
      </c>
      <c r="O53" s="112">
        <v>45145</v>
      </c>
      <c r="P53" s="10">
        <f t="shared" si="1"/>
        <v>-11</v>
      </c>
      <c r="Q53" s="10">
        <f t="shared" si="2"/>
        <v>0</v>
      </c>
      <c r="R53" s="10">
        <f t="shared" si="3"/>
        <v>-11</v>
      </c>
      <c r="S53" s="10">
        <f t="shared" si="4"/>
        <v>-41</v>
      </c>
    </row>
    <row r="54" spans="1:19" ht="12.75" x14ac:dyDescent="0.2">
      <c r="A54" s="111" t="s">
        <v>186</v>
      </c>
      <c r="B54" s="112">
        <v>45138</v>
      </c>
      <c r="C54" s="111" t="s">
        <v>187</v>
      </c>
      <c r="D54" s="114">
        <v>0</v>
      </c>
      <c r="E54">
        <v>22</v>
      </c>
      <c r="K54" s="2"/>
      <c r="L54" s="112">
        <v>45138</v>
      </c>
      <c r="N54" s="15">
        <f t="shared" si="0"/>
        <v>45138</v>
      </c>
      <c r="O54" s="112">
        <v>45138</v>
      </c>
      <c r="P54" s="10">
        <f t="shared" si="1"/>
        <v>0</v>
      </c>
      <c r="Q54" s="10">
        <f t="shared" si="2"/>
        <v>0</v>
      </c>
      <c r="R54" s="10">
        <f t="shared" si="3"/>
        <v>0</v>
      </c>
      <c r="S54" s="10">
        <f t="shared" si="4"/>
        <v>-30</v>
      </c>
    </row>
    <row r="55" spans="1:19" ht="12.75" x14ac:dyDescent="0.2">
      <c r="A55" s="111" t="s">
        <v>188</v>
      </c>
      <c r="B55" s="112">
        <v>45138</v>
      </c>
      <c r="C55" s="111" t="s">
        <v>189</v>
      </c>
      <c r="D55" s="114">
        <v>18.600000000000001</v>
      </c>
      <c r="E55">
        <v>22</v>
      </c>
      <c r="K55" s="2"/>
      <c r="L55" s="112">
        <v>45138</v>
      </c>
      <c r="N55" s="15">
        <f t="shared" si="0"/>
        <v>45163</v>
      </c>
      <c r="O55" s="112">
        <v>45163</v>
      </c>
      <c r="P55" s="10">
        <f t="shared" si="1"/>
        <v>-25</v>
      </c>
      <c r="Q55" s="10">
        <f t="shared" si="2"/>
        <v>0</v>
      </c>
      <c r="R55" s="10">
        <f t="shared" si="3"/>
        <v>-25</v>
      </c>
      <c r="S55" s="10">
        <f t="shared" si="4"/>
        <v>-55</v>
      </c>
    </row>
    <row r="56" spans="1:19" ht="12.75" x14ac:dyDescent="0.2">
      <c r="A56" s="111" t="s">
        <v>190</v>
      </c>
      <c r="B56" s="112">
        <v>45138</v>
      </c>
      <c r="C56" s="111" t="s">
        <v>191</v>
      </c>
      <c r="D56" s="114">
        <v>90.64</v>
      </c>
      <c r="E56">
        <v>22</v>
      </c>
      <c r="K56" s="2"/>
      <c r="L56" s="112">
        <v>45138</v>
      </c>
      <c r="N56" s="15">
        <f t="shared" si="0"/>
        <v>45169</v>
      </c>
      <c r="O56" s="112">
        <v>45169</v>
      </c>
      <c r="P56" s="10">
        <f t="shared" si="1"/>
        <v>-31</v>
      </c>
      <c r="Q56" s="10">
        <f t="shared" si="2"/>
        <v>0</v>
      </c>
      <c r="R56" s="10">
        <f t="shared" si="3"/>
        <v>-31</v>
      </c>
      <c r="S56" s="10">
        <f t="shared" si="4"/>
        <v>-61</v>
      </c>
    </row>
    <row r="57" spans="1:19" ht="12.75" x14ac:dyDescent="0.2">
      <c r="A57" s="111" t="s">
        <v>192</v>
      </c>
      <c r="B57" s="112">
        <v>45138</v>
      </c>
      <c r="C57" s="111" t="s">
        <v>193</v>
      </c>
      <c r="D57" s="114">
        <v>179.35</v>
      </c>
      <c r="E57">
        <v>22</v>
      </c>
      <c r="K57" s="2"/>
      <c r="L57" s="112">
        <v>45138</v>
      </c>
      <c r="N57" s="15">
        <f t="shared" si="0"/>
        <v>45169</v>
      </c>
      <c r="O57" s="112">
        <v>45169</v>
      </c>
      <c r="P57" s="10">
        <f t="shared" si="1"/>
        <v>-31</v>
      </c>
      <c r="Q57" s="10">
        <f t="shared" si="2"/>
        <v>0</v>
      </c>
      <c r="R57" s="10">
        <f t="shared" si="3"/>
        <v>-31</v>
      </c>
      <c r="S57" s="10">
        <f t="shared" si="4"/>
        <v>-61</v>
      </c>
    </row>
    <row r="58" spans="1:19" ht="12.75" x14ac:dyDescent="0.2">
      <c r="A58" s="111" t="s">
        <v>194</v>
      </c>
      <c r="B58" s="112">
        <v>45169</v>
      </c>
      <c r="C58" s="111" t="s">
        <v>195</v>
      </c>
      <c r="D58" s="114">
        <v>44.78</v>
      </c>
      <c r="E58">
        <v>22</v>
      </c>
      <c r="K58" s="2"/>
      <c r="L58" s="112">
        <v>45169</v>
      </c>
      <c r="N58" s="15">
        <f t="shared" si="0"/>
        <v>45200</v>
      </c>
      <c r="O58" s="112">
        <v>45200</v>
      </c>
      <c r="P58" s="10">
        <f t="shared" si="1"/>
        <v>-31</v>
      </c>
      <c r="Q58" s="10">
        <f t="shared" si="2"/>
        <v>0</v>
      </c>
      <c r="R58" s="10">
        <f t="shared" si="3"/>
        <v>-31</v>
      </c>
      <c r="S58" s="10">
        <f t="shared" si="4"/>
        <v>-61</v>
      </c>
    </row>
    <row r="59" spans="1:19" ht="12.75" x14ac:dyDescent="0.2">
      <c r="A59" s="111" t="s">
        <v>196</v>
      </c>
      <c r="B59" s="112">
        <v>45173</v>
      </c>
      <c r="C59" s="111" t="s">
        <v>197</v>
      </c>
      <c r="D59" s="114">
        <v>5820.9</v>
      </c>
      <c r="E59">
        <v>22</v>
      </c>
      <c r="K59" s="2"/>
      <c r="L59" s="112">
        <v>45173</v>
      </c>
      <c r="N59" s="15">
        <f t="shared" si="0"/>
        <v>45184</v>
      </c>
      <c r="O59" s="112">
        <v>45184</v>
      </c>
      <c r="P59" s="10">
        <f t="shared" si="1"/>
        <v>-11</v>
      </c>
      <c r="Q59" s="10">
        <f t="shared" si="2"/>
        <v>0</v>
      </c>
      <c r="R59" s="10">
        <f t="shared" si="3"/>
        <v>-11</v>
      </c>
      <c r="S59" s="10">
        <f t="shared" si="4"/>
        <v>-41</v>
      </c>
    </row>
    <row r="60" spans="1:19" ht="12.75" x14ac:dyDescent="0.2">
      <c r="A60" s="111" t="s">
        <v>198</v>
      </c>
      <c r="B60" s="112">
        <v>45170</v>
      </c>
      <c r="C60" s="111" t="s">
        <v>199</v>
      </c>
      <c r="D60" s="114">
        <v>115.43</v>
      </c>
      <c r="E60">
        <v>22</v>
      </c>
      <c r="K60" s="2"/>
      <c r="L60" s="112">
        <v>45170</v>
      </c>
      <c r="N60" s="15">
        <f t="shared" si="0"/>
        <v>45184</v>
      </c>
      <c r="O60" s="112">
        <v>45184</v>
      </c>
      <c r="P60" s="10">
        <f t="shared" si="1"/>
        <v>-14</v>
      </c>
      <c r="Q60" s="10">
        <f t="shared" si="2"/>
        <v>0</v>
      </c>
      <c r="R60" s="10">
        <f t="shared" si="3"/>
        <v>-14</v>
      </c>
      <c r="S60" s="10">
        <f t="shared" si="4"/>
        <v>-44</v>
      </c>
    </row>
    <row r="61" spans="1:19" ht="12.75" x14ac:dyDescent="0.2">
      <c r="A61" s="111" t="s">
        <v>200</v>
      </c>
      <c r="B61" s="112">
        <v>45173</v>
      </c>
      <c r="C61" s="111" t="s">
        <v>201</v>
      </c>
      <c r="D61" s="114">
        <v>17.21</v>
      </c>
      <c r="E61">
        <v>22</v>
      </c>
      <c r="K61" s="2"/>
      <c r="L61" s="112">
        <v>45173</v>
      </c>
      <c r="N61" s="15">
        <f t="shared" si="0"/>
        <v>45184</v>
      </c>
      <c r="O61" s="112">
        <v>45184</v>
      </c>
      <c r="P61" s="10">
        <f t="shared" si="1"/>
        <v>-11</v>
      </c>
      <c r="Q61" s="10">
        <f t="shared" si="2"/>
        <v>0</v>
      </c>
      <c r="R61" s="10">
        <f t="shared" si="3"/>
        <v>-11</v>
      </c>
      <c r="S61" s="10">
        <f t="shared" si="4"/>
        <v>-41</v>
      </c>
    </row>
    <row r="62" spans="1:19" ht="12.75" x14ac:dyDescent="0.2">
      <c r="A62" s="111" t="s">
        <v>202</v>
      </c>
      <c r="B62" s="112">
        <v>45173</v>
      </c>
      <c r="C62" s="111" t="s">
        <v>203</v>
      </c>
      <c r="D62" s="114">
        <v>2494.6799999999998</v>
      </c>
      <c r="E62">
        <v>22</v>
      </c>
      <c r="K62" s="2"/>
      <c r="L62" s="112">
        <v>45173</v>
      </c>
      <c r="N62" s="15">
        <f t="shared" si="0"/>
        <v>45184</v>
      </c>
      <c r="O62" s="112">
        <v>45184</v>
      </c>
      <c r="P62" s="10">
        <f t="shared" si="1"/>
        <v>-11</v>
      </c>
      <c r="Q62" s="10">
        <f t="shared" si="2"/>
        <v>0</v>
      </c>
      <c r="R62" s="10">
        <f t="shared" si="3"/>
        <v>-11</v>
      </c>
      <c r="S62" s="10">
        <f t="shared" si="4"/>
        <v>-41</v>
      </c>
    </row>
    <row r="63" spans="1:19" ht="12.75" x14ac:dyDescent="0.2">
      <c r="A63" s="111" t="s">
        <v>204</v>
      </c>
      <c r="B63" s="112">
        <v>45108</v>
      </c>
      <c r="C63" s="111" t="s">
        <v>205</v>
      </c>
      <c r="D63" s="114">
        <v>0.38</v>
      </c>
      <c r="E63">
        <v>29</v>
      </c>
      <c r="K63" s="2"/>
      <c r="L63" s="112">
        <v>45108</v>
      </c>
      <c r="N63" s="15">
        <f t="shared" si="0"/>
        <v>45108</v>
      </c>
      <c r="O63" s="112">
        <v>45108</v>
      </c>
      <c r="P63" s="10">
        <f t="shared" si="1"/>
        <v>0</v>
      </c>
      <c r="Q63" s="10">
        <f t="shared" si="2"/>
        <v>0</v>
      </c>
      <c r="R63" s="10">
        <f t="shared" si="3"/>
        <v>0</v>
      </c>
      <c r="S63" s="10">
        <f t="shared" si="4"/>
        <v>-30</v>
      </c>
    </row>
    <row r="64" spans="1:19" ht="12.75" x14ac:dyDescent="0.2">
      <c r="A64" s="111" t="s">
        <v>206</v>
      </c>
      <c r="B64" s="112">
        <v>45108</v>
      </c>
      <c r="C64" s="111" t="s">
        <v>207</v>
      </c>
      <c r="D64" s="114">
        <v>137.34</v>
      </c>
      <c r="E64">
        <v>29</v>
      </c>
      <c r="K64" s="2"/>
      <c r="L64" s="112">
        <v>45108</v>
      </c>
      <c r="N64" s="15">
        <f t="shared" si="0"/>
        <v>45108</v>
      </c>
      <c r="O64" s="112">
        <v>45108</v>
      </c>
      <c r="P64" s="10">
        <f t="shared" si="1"/>
        <v>0</v>
      </c>
      <c r="Q64" s="10">
        <f t="shared" si="2"/>
        <v>0</v>
      </c>
      <c r="R64" s="10">
        <f t="shared" si="3"/>
        <v>0</v>
      </c>
      <c r="S64" s="10">
        <f t="shared" si="4"/>
        <v>-30</v>
      </c>
    </row>
    <row r="65" spans="1:19" ht="12.75" x14ac:dyDescent="0.2">
      <c r="A65" s="111" t="s">
        <v>208</v>
      </c>
      <c r="B65" s="112">
        <v>45114</v>
      </c>
      <c r="C65" s="111" t="s">
        <v>209</v>
      </c>
      <c r="D65" s="114">
        <v>602.29999999999995</v>
      </c>
      <c r="E65">
        <v>29</v>
      </c>
      <c r="K65" s="2"/>
      <c r="L65" s="112">
        <v>45114</v>
      </c>
      <c r="N65" s="15">
        <f t="shared" si="0"/>
        <v>45168</v>
      </c>
      <c r="O65" s="112">
        <v>45168</v>
      </c>
      <c r="P65" s="10">
        <f t="shared" si="1"/>
        <v>-54</v>
      </c>
      <c r="Q65" s="10">
        <f t="shared" si="2"/>
        <v>0</v>
      </c>
      <c r="R65" s="10">
        <f t="shared" si="3"/>
        <v>-54</v>
      </c>
      <c r="S65" s="10">
        <f t="shared" si="4"/>
        <v>-84</v>
      </c>
    </row>
    <row r="66" spans="1:19" ht="12.75" x14ac:dyDescent="0.2">
      <c r="A66" s="111" t="s">
        <v>210</v>
      </c>
      <c r="B66" s="112">
        <v>45120</v>
      </c>
      <c r="C66" s="111" t="s">
        <v>211</v>
      </c>
      <c r="D66" s="114">
        <v>17.420000000000002</v>
      </c>
      <c r="E66">
        <v>29</v>
      </c>
      <c r="K66" s="2"/>
      <c r="L66" s="112">
        <v>45120</v>
      </c>
      <c r="N66" s="15">
        <f t="shared" si="0"/>
        <v>45125</v>
      </c>
      <c r="O66" s="112">
        <v>45125</v>
      </c>
      <c r="P66" s="10">
        <f t="shared" si="1"/>
        <v>-5</v>
      </c>
      <c r="Q66" s="10">
        <f t="shared" si="2"/>
        <v>0</v>
      </c>
      <c r="R66" s="10">
        <f t="shared" si="3"/>
        <v>-5</v>
      </c>
      <c r="S66" s="10">
        <f t="shared" si="4"/>
        <v>-35</v>
      </c>
    </row>
    <row r="67" spans="1:19" ht="12.75" x14ac:dyDescent="0.2">
      <c r="A67" s="111" t="s">
        <v>212</v>
      </c>
      <c r="B67" s="112">
        <v>45110</v>
      </c>
      <c r="C67" s="111" t="s">
        <v>213</v>
      </c>
      <c r="D67" s="114">
        <v>914.76</v>
      </c>
      <c r="E67">
        <v>29</v>
      </c>
      <c r="K67" s="2"/>
      <c r="L67" s="112">
        <v>45110</v>
      </c>
      <c r="N67" s="15">
        <f t="shared" si="0"/>
        <v>45125</v>
      </c>
      <c r="O67" s="112">
        <v>45125</v>
      </c>
      <c r="P67" s="10">
        <f t="shared" si="1"/>
        <v>-15</v>
      </c>
      <c r="Q67" s="10">
        <f t="shared" si="2"/>
        <v>0</v>
      </c>
      <c r="R67" s="10">
        <f t="shared" si="3"/>
        <v>-15</v>
      </c>
      <c r="S67" s="10">
        <f t="shared" si="4"/>
        <v>-45</v>
      </c>
    </row>
    <row r="68" spans="1:19" ht="12.75" x14ac:dyDescent="0.2">
      <c r="A68" s="111" t="s">
        <v>214</v>
      </c>
      <c r="B68" s="112">
        <v>45112</v>
      </c>
      <c r="C68" s="111" t="s">
        <v>215</v>
      </c>
      <c r="D68" s="114">
        <v>2250</v>
      </c>
      <c r="E68">
        <v>29</v>
      </c>
      <c r="K68" s="2"/>
      <c r="L68" s="112">
        <v>45112</v>
      </c>
      <c r="N68" s="15">
        <f t="shared" si="0"/>
        <v>45125</v>
      </c>
      <c r="O68" s="112">
        <v>45125</v>
      </c>
      <c r="P68" s="10">
        <f t="shared" si="1"/>
        <v>-13</v>
      </c>
      <c r="Q68" s="10">
        <f t="shared" si="2"/>
        <v>0</v>
      </c>
      <c r="R68" s="10">
        <f t="shared" si="3"/>
        <v>-13</v>
      </c>
      <c r="S68" s="10">
        <f t="shared" si="4"/>
        <v>-43</v>
      </c>
    </row>
    <row r="69" spans="1:19" ht="12.75" x14ac:dyDescent="0.2">
      <c r="A69" s="111" t="s">
        <v>216</v>
      </c>
      <c r="B69" s="112">
        <v>45112</v>
      </c>
      <c r="C69" s="111" t="s">
        <v>217</v>
      </c>
      <c r="D69" s="114">
        <v>2250</v>
      </c>
      <c r="E69">
        <v>29</v>
      </c>
      <c r="K69" s="2"/>
      <c r="L69" s="112">
        <v>45112</v>
      </c>
      <c r="N69" s="15">
        <f t="shared" si="0"/>
        <v>45125</v>
      </c>
      <c r="O69" s="112">
        <v>45125</v>
      </c>
      <c r="P69" s="10">
        <f t="shared" si="1"/>
        <v>-13</v>
      </c>
      <c r="Q69" s="10">
        <f t="shared" si="2"/>
        <v>0</v>
      </c>
      <c r="R69" s="10">
        <f t="shared" si="3"/>
        <v>-13</v>
      </c>
      <c r="S69" s="10">
        <f t="shared" si="4"/>
        <v>-43</v>
      </c>
    </row>
    <row r="70" spans="1:19" ht="12.75" x14ac:dyDescent="0.2">
      <c r="A70" s="111" t="s">
        <v>218</v>
      </c>
      <c r="B70" s="112">
        <v>45110</v>
      </c>
      <c r="C70" s="111" t="s">
        <v>219</v>
      </c>
      <c r="D70" s="114">
        <v>634.67999999999995</v>
      </c>
      <c r="E70">
        <v>29</v>
      </c>
      <c r="K70" s="2"/>
      <c r="L70" s="112">
        <v>45110</v>
      </c>
      <c r="N70" s="15">
        <f t="shared" si="0"/>
        <v>45124</v>
      </c>
      <c r="O70" s="112">
        <v>45124</v>
      </c>
      <c r="P70" s="10">
        <f t="shared" si="1"/>
        <v>-14</v>
      </c>
      <c r="Q70" s="10">
        <f t="shared" si="2"/>
        <v>0</v>
      </c>
      <c r="R70" s="10">
        <f t="shared" si="3"/>
        <v>-14</v>
      </c>
      <c r="S70" s="10">
        <f t="shared" si="4"/>
        <v>-44</v>
      </c>
    </row>
    <row r="71" spans="1:19" ht="12.75" x14ac:dyDescent="0.2">
      <c r="A71" s="111" t="s">
        <v>220</v>
      </c>
      <c r="B71" s="112">
        <v>45110</v>
      </c>
      <c r="C71" s="111" t="s">
        <v>221</v>
      </c>
      <c r="D71" s="114">
        <v>654.48</v>
      </c>
      <c r="E71">
        <v>29</v>
      </c>
      <c r="K71" s="2"/>
      <c r="L71" s="112">
        <v>45110</v>
      </c>
      <c r="N71" s="15">
        <f t="shared" ref="N71:N134" si="5">+O71</f>
        <v>45124</v>
      </c>
      <c r="O71" s="112">
        <v>45124</v>
      </c>
      <c r="P71" s="10">
        <f t="shared" ref="P71:P134" si="6">+L71-N71</f>
        <v>-14</v>
      </c>
      <c r="Q71" s="10">
        <f t="shared" ref="Q71:Q134" si="7">+N71-O71</f>
        <v>0</v>
      </c>
      <c r="R71" s="10">
        <f t="shared" ref="R71:R134" si="8">+L71-O71</f>
        <v>-14</v>
      </c>
      <c r="S71" s="10">
        <f t="shared" ref="S71:S134" si="9">+R71-30</f>
        <v>-44</v>
      </c>
    </row>
    <row r="72" spans="1:19" ht="12.75" x14ac:dyDescent="0.2">
      <c r="A72" s="111" t="s">
        <v>222</v>
      </c>
      <c r="B72" s="112">
        <v>45122</v>
      </c>
      <c r="C72" s="111" t="s">
        <v>223</v>
      </c>
      <c r="D72" s="114">
        <v>94.5</v>
      </c>
      <c r="E72">
        <v>29</v>
      </c>
      <c r="K72" s="2"/>
      <c r="L72" s="112">
        <v>45122</v>
      </c>
      <c r="N72" s="15">
        <f t="shared" si="5"/>
        <v>45125</v>
      </c>
      <c r="O72" s="112">
        <v>45125</v>
      </c>
      <c r="P72" s="10">
        <f t="shared" si="6"/>
        <v>-3</v>
      </c>
      <c r="Q72" s="10">
        <f t="shared" si="7"/>
        <v>0</v>
      </c>
      <c r="R72" s="10">
        <f t="shared" si="8"/>
        <v>-3</v>
      </c>
      <c r="S72" s="10">
        <f t="shared" si="9"/>
        <v>-33</v>
      </c>
    </row>
    <row r="73" spans="1:19" ht="12.75" x14ac:dyDescent="0.2">
      <c r="A73" s="111" t="s">
        <v>224</v>
      </c>
      <c r="B73" s="112">
        <v>45122</v>
      </c>
      <c r="C73" s="111" t="s">
        <v>225</v>
      </c>
      <c r="D73" s="114">
        <v>45.2</v>
      </c>
      <c r="E73">
        <v>29</v>
      </c>
      <c r="K73" s="2"/>
      <c r="L73" s="112">
        <v>45122</v>
      </c>
      <c r="N73" s="15">
        <f t="shared" si="5"/>
        <v>45125</v>
      </c>
      <c r="O73" s="112">
        <v>45125</v>
      </c>
      <c r="P73" s="10">
        <f t="shared" si="6"/>
        <v>-3</v>
      </c>
      <c r="Q73" s="10">
        <f t="shared" si="7"/>
        <v>0</v>
      </c>
      <c r="R73" s="10">
        <f t="shared" si="8"/>
        <v>-3</v>
      </c>
      <c r="S73" s="10">
        <f t="shared" si="9"/>
        <v>-33</v>
      </c>
    </row>
    <row r="74" spans="1:19" ht="12.75" x14ac:dyDescent="0.2">
      <c r="A74" s="111" t="s">
        <v>226</v>
      </c>
      <c r="B74" s="112">
        <v>45122</v>
      </c>
      <c r="C74" s="111" t="s">
        <v>227</v>
      </c>
      <c r="D74" s="114">
        <v>943.8</v>
      </c>
      <c r="E74">
        <v>29</v>
      </c>
      <c r="K74" s="2"/>
      <c r="L74" s="112">
        <v>45122</v>
      </c>
      <c r="N74" s="15">
        <f t="shared" si="5"/>
        <v>45125</v>
      </c>
      <c r="O74" s="112">
        <v>45125</v>
      </c>
      <c r="P74" s="10">
        <f t="shared" si="6"/>
        <v>-3</v>
      </c>
      <c r="Q74" s="10">
        <f t="shared" si="7"/>
        <v>0</v>
      </c>
      <c r="R74" s="10">
        <f t="shared" si="8"/>
        <v>-3</v>
      </c>
      <c r="S74" s="10">
        <f t="shared" si="9"/>
        <v>-33</v>
      </c>
    </row>
    <row r="75" spans="1:19" ht="12.75" x14ac:dyDescent="0.2">
      <c r="A75" s="111" t="s">
        <v>228</v>
      </c>
      <c r="B75" s="112">
        <v>45108</v>
      </c>
      <c r="C75" s="111" t="s">
        <v>229</v>
      </c>
      <c r="D75" s="114">
        <v>2.65</v>
      </c>
      <c r="E75">
        <v>29</v>
      </c>
      <c r="K75" s="2"/>
      <c r="L75" s="112">
        <v>45108</v>
      </c>
      <c r="N75" s="15">
        <f t="shared" si="5"/>
        <v>45120</v>
      </c>
      <c r="O75" s="112">
        <v>45120</v>
      </c>
      <c r="P75" s="10">
        <f t="shared" si="6"/>
        <v>-12</v>
      </c>
      <c r="Q75" s="10">
        <f t="shared" si="7"/>
        <v>0</v>
      </c>
      <c r="R75" s="10">
        <f t="shared" si="8"/>
        <v>-12</v>
      </c>
      <c r="S75" s="10">
        <f t="shared" si="9"/>
        <v>-42</v>
      </c>
    </row>
    <row r="76" spans="1:19" ht="12.75" x14ac:dyDescent="0.2">
      <c r="A76" s="111" t="s">
        <v>230</v>
      </c>
      <c r="B76" s="112">
        <v>45108</v>
      </c>
      <c r="C76" s="111" t="s">
        <v>231</v>
      </c>
      <c r="D76" s="114">
        <v>13.64</v>
      </c>
      <c r="E76">
        <v>29</v>
      </c>
      <c r="K76" s="2"/>
      <c r="L76" s="112">
        <v>45108</v>
      </c>
      <c r="N76" s="15">
        <f t="shared" si="5"/>
        <v>45114</v>
      </c>
      <c r="O76" s="112">
        <v>45114</v>
      </c>
      <c r="P76" s="10">
        <f t="shared" si="6"/>
        <v>-6</v>
      </c>
      <c r="Q76" s="10">
        <f t="shared" si="7"/>
        <v>0</v>
      </c>
      <c r="R76" s="10">
        <f t="shared" si="8"/>
        <v>-6</v>
      </c>
      <c r="S76" s="10">
        <f t="shared" si="9"/>
        <v>-36</v>
      </c>
    </row>
    <row r="77" spans="1:19" ht="12.75" x14ac:dyDescent="0.2">
      <c r="A77" s="111" t="s">
        <v>232</v>
      </c>
      <c r="B77" s="112">
        <v>45120</v>
      </c>
      <c r="C77" s="111" t="s">
        <v>233</v>
      </c>
      <c r="D77" s="114">
        <v>4840</v>
      </c>
      <c r="E77">
        <v>29</v>
      </c>
      <c r="K77" s="2"/>
      <c r="L77" s="112">
        <v>45120</v>
      </c>
      <c r="N77" s="15">
        <f t="shared" si="5"/>
        <v>45134</v>
      </c>
      <c r="O77" s="112">
        <v>45134</v>
      </c>
      <c r="P77" s="10">
        <f t="shared" si="6"/>
        <v>-14</v>
      </c>
      <c r="Q77" s="10">
        <f t="shared" si="7"/>
        <v>0</v>
      </c>
      <c r="R77" s="10">
        <f t="shared" si="8"/>
        <v>-14</v>
      </c>
      <c r="S77" s="10">
        <f t="shared" si="9"/>
        <v>-44</v>
      </c>
    </row>
    <row r="78" spans="1:19" ht="12.75" x14ac:dyDescent="0.2">
      <c r="A78" s="111" t="s">
        <v>234</v>
      </c>
      <c r="B78" s="112">
        <v>45108</v>
      </c>
      <c r="C78" s="111" t="s">
        <v>235</v>
      </c>
      <c r="D78" s="114">
        <v>98.38</v>
      </c>
      <c r="E78">
        <v>29</v>
      </c>
      <c r="K78" s="2"/>
      <c r="L78" s="112">
        <v>45108</v>
      </c>
      <c r="N78" s="15">
        <f t="shared" si="5"/>
        <v>45108</v>
      </c>
      <c r="O78" s="112">
        <v>45108</v>
      </c>
      <c r="P78" s="10">
        <f t="shared" si="6"/>
        <v>0</v>
      </c>
      <c r="Q78" s="10">
        <f t="shared" si="7"/>
        <v>0</v>
      </c>
      <c r="R78" s="10">
        <f t="shared" si="8"/>
        <v>0</v>
      </c>
      <c r="S78" s="10">
        <f t="shared" si="9"/>
        <v>-30</v>
      </c>
    </row>
    <row r="79" spans="1:19" ht="12.75" x14ac:dyDescent="0.2">
      <c r="A79" s="111" t="s">
        <v>236</v>
      </c>
      <c r="B79" s="112">
        <v>45130</v>
      </c>
      <c r="C79" s="111" t="s">
        <v>237</v>
      </c>
      <c r="D79" s="114">
        <v>25</v>
      </c>
      <c r="E79">
        <v>29</v>
      </c>
      <c r="K79" s="2"/>
      <c r="L79" s="112">
        <v>45130</v>
      </c>
      <c r="N79" s="15">
        <f t="shared" si="5"/>
        <v>45133</v>
      </c>
      <c r="O79" s="112">
        <v>45133</v>
      </c>
      <c r="P79" s="10">
        <f t="shared" si="6"/>
        <v>-3</v>
      </c>
      <c r="Q79" s="10">
        <f t="shared" si="7"/>
        <v>0</v>
      </c>
      <c r="R79" s="10">
        <f t="shared" si="8"/>
        <v>-3</v>
      </c>
      <c r="S79" s="10">
        <f t="shared" si="9"/>
        <v>-33</v>
      </c>
    </row>
    <row r="80" spans="1:19" ht="12.75" x14ac:dyDescent="0.2">
      <c r="A80" s="111" t="s">
        <v>238</v>
      </c>
      <c r="B80" s="112">
        <v>45130</v>
      </c>
      <c r="C80" s="111" t="s">
        <v>239</v>
      </c>
      <c r="D80" s="114">
        <v>2440.0500000000002</v>
      </c>
      <c r="E80">
        <v>29</v>
      </c>
      <c r="K80" s="2"/>
      <c r="L80" s="112">
        <v>45130</v>
      </c>
      <c r="N80" s="15">
        <f t="shared" si="5"/>
        <v>45135</v>
      </c>
      <c r="O80" s="112">
        <v>45135</v>
      </c>
      <c r="P80" s="10">
        <f t="shared" si="6"/>
        <v>-5</v>
      </c>
      <c r="Q80" s="10">
        <f t="shared" si="7"/>
        <v>0</v>
      </c>
      <c r="R80" s="10">
        <f t="shared" si="8"/>
        <v>-5</v>
      </c>
      <c r="S80" s="10">
        <f t="shared" si="9"/>
        <v>-35</v>
      </c>
    </row>
    <row r="81" spans="1:19" ht="12.75" x14ac:dyDescent="0.2">
      <c r="A81" s="111" t="s">
        <v>240</v>
      </c>
      <c r="B81" s="112">
        <v>45121</v>
      </c>
      <c r="C81" s="111" t="s">
        <v>241</v>
      </c>
      <c r="D81" s="114">
        <v>363</v>
      </c>
      <c r="E81">
        <v>29</v>
      </c>
      <c r="K81" s="2"/>
      <c r="L81" s="112">
        <v>45121</v>
      </c>
      <c r="N81" s="15">
        <f t="shared" si="5"/>
        <v>45134</v>
      </c>
      <c r="O81" s="112">
        <v>45134</v>
      </c>
      <c r="P81" s="10">
        <f t="shared" si="6"/>
        <v>-13</v>
      </c>
      <c r="Q81" s="10">
        <f t="shared" si="7"/>
        <v>0</v>
      </c>
      <c r="R81" s="10">
        <f t="shared" si="8"/>
        <v>-13</v>
      </c>
      <c r="S81" s="10">
        <f t="shared" si="9"/>
        <v>-43</v>
      </c>
    </row>
    <row r="82" spans="1:19" ht="12.75" x14ac:dyDescent="0.2">
      <c r="A82" s="111" t="s">
        <v>242</v>
      </c>
      <c r="B82" s="112">
        <v>45132</v>
      </c>
      <c r="C82" s="111" t="s">
        <v>243</v>
      </c>
      <c r="D82" s="114">
        <v>773.6</v>
      </c>
      <c r="E82">
        <v>29</v>
      </c>
      <c r="K82" s="2"/>
      <c r="L82" s="112">
        <v>45132</v>
      </c>
      <c r="N82" s="15">
        <f t="shared" si="5"/>
        <v>45134</v>
      </c>
      <c r="O82" s="112">
        <v>45134</v>
      </c>
      <c r="P82" s="10">
        <f t="shared" si="6"/>
        <v>-2</v>
      </c>
      <c r="Q82" s="10">
        <f t="shared" si="7"/>
        <v>0</v>
      </c>
      <c r="R82" s="10">
        <f t="shared" si="8"/>
        <v>-2</v>
      </c>
      <c r="S82" s="10">
        <f t="shared" si="9"/>
        <v>-32</v>
      </c>
    </row>
    <row r="83" spans="1:19" ht="12.75" x14ac:dyDescent="0.2">
      <c r="A83" s="111" t="s">
        <v>244</v>
      </c>
      <c r="B83" s="112">
        <v>45134</v>
      </c>
      <c r="C83" s="111" t="s">
        <v>245</v>
      </c>
      <c r="D83" s="114">
        <v>7169.25</v>
      </c>
      <c r="E83">
        <v>29</v>
      </c>
      <c r="K83" s="2"/>
      <c r="L83" s="112">
        <v>45134</v>
      </c>
      <c r="N83" s="15">
        <f t="shared" si="5"/>
        <v>45134</v>
      </c>
      <c r="O83" s="112">
        <v>45134</v>
      </c>
      <c r="P83" s="10">
        <f t="shared" si="6"/>
        <v>0</v>
      </c>
      <c r="Q83" s="10">
        <f t="shared" si="7"/>
        <v>0</v>
      </c>
      <c r="R83" s="10">
        <f t="shared" si="8"/>
        <v>0</v>
      </c>
      <c r="S83" s="10">
        <f t="shared" si="9"/>
        <v>-30</v>
      </c>
    </row>
    <row r="84" spans="1:19" ht="12.75" x14ac:dyDescent="0.2">
      <c r="A84" s="111" t="s">
        <v>246</v>
      </c>
      <c r="B84" s="112">
        <v>45120</v>
      </c>
      <c r="C84" s="111" t="s">
        <v>247</v>
      </c>
      <c r="D84" s="114">
        <v>16226.1</v>
      </c>
      <c r="E84">
        <v>29</v>
      </c>
      <c r="K84" s="2"/>
      <c r="L84" s="112">
        <v>45120</v>
      </c>
      <c r="N84" s="15">
        <f t="shared" si="5"/>
        <v>45135</v>
      </c>
      <c r="O84" s="112">
        <v>45135</v>
      </c>
      <c r="P84" s="10">
        <f t="shared" si="6"/>
        <v>-15</v>
      </c>
      <c r="Q84" s="10">
        <f t="shared" si="7"/>
        <v>0</v>
      </c>
      <c r="R84" s="10">
        <f t="shared" si="8"/>
        <v>-15</v>
      </c>
      <c r="S84" s="10">
        <f t="shared" si="9"/>
        <v>-45</v>
      </c>
    </row>
    <row r="85" spans="1:19" ht="12.75" x14ac:dyDescent="0.2">
      <c r="A85" s="111" t="s">
        <v>248</v>
      </c>
      <c r="B85" s="112">
        <v>45138</v>
      </c>
      <c r="C85" s="111" t="s">
        <v>249</v>
      </c>
      <c r="D85" s="114">
        <v>718.68</v>
      </c>
      <c r="E85">
        <v>29</v>
      </c>
      <c r="K85" s="2"/>
      <c r="L85" s="112">
        <v>45138</v>
      </c>
      <c r="N85" s="15">
        <f t="shared" si="5"/>
        <v>45168</v>
      </c>
      <c r="O85" s="112">
        <v>45168</v>
      </c>
      <c r="P85" s="10">
        <f t="shared" si="6"/>
        <v>-30</v>
      </c>
      <c r="Q85" s="10">
        <f t="shared" si="7"/>
        <v>0</v>
      </c>
      <c r="R85" s="10">
        <f t="shared" si="8"/>
        <v>-30</v>
      </c>
      <c r="S85" s="10">
        <f t="shared" si="9"/>
        <v>-60</v>
      </c>
    </row>
    <row r="86" spans="1:19" ht="12.75" x14ac:dyDescent="0.2">
      <c r="A86" s="111" t="s">
        <v>250</v>
      </c>
      <c r="B86" s="112">
        <v>45135</v>
      </c>
      <c r="C86" s="111" t="s">
        <v>251</v>
      </c>
      <c r="D86" s="114">
        <v>12.63</v>
      </c>
      <c r="E86">
        <v>29</v>
      </c>
      <c r="K86" s="2"/>
      <c r="L86" s="112">
        <v>45135</v>
      </c>
      <c r="N86" s="15">
        <f t="shared" si="5"/>
        <v>45155</v>
      </c>
      <c r="O86" s="112">
        <v>45155</v>
      </c>
      <c r="P86" s="10">
        <f t="shared" si="6"/>
        <v>-20</v>
      </c>
      <c r="Q86" s="10">
        <f t="shared" si="7"/>
        <v>0</v>
      </c>
      <c r="R86" s="10">
        <f t="shared" si="8"/>
        <v>-20</v>
      </c>
      <c r="S86" s="10">
        <f t="shared" si="9"/>
        <v>-50</v>
      </c>
    </row>
    <row r="87" spans="1:19" ht="12.75" x14ac:dyDescent="0.2">
      <c r="A87" s="111" t="s">
        <v>252</v>
      </c>
      <c r="B87" s="112">
        <v>45135</v>
      </c>
      <c r="C87" s="111" t="s">
        <v>253</v>
      </c>
      <c r="D87" s="114">
        <v>17.62</v>
      </c>
      <c r="E87">
        <v>29</v>
      </c>
      <c r="K87" s="2"/>
      <c r="L87" s="112">
        <v>45135</v>
      </c>
      <c r="N87" s="15">
        <f t="shared" si="5"/>
        <v>45155</v>
      </c>
      <c r="O87" s="112">
        <v>45155</v>
      </c>
      <c r="P87" s="10">
        <f t="shared" si="6"/>
        <v>-20</v>
      </c>
      <c r="Q87" s="10">
        <f t="shared" si="7"/>
        <v>0</v>
      </c>
      <c r="R87" s="10">
        <f t="shared" si="8"/>
        <v>-20</v>
      </c>
      <c r="S87" s="10">
        <f t="shared" si="9"/>
        <v>-50</v>
      </c>
    </row>
    <row r="88" spans="1:19" ht="12.75" x14ac:dyDescent="0.2">
      <c r="A88" s="111" t="s">
        <v>254</v>
      </c>
      <c r="B88" s="112">
        <v>45135</v>
      </c>
      <c r="C88" s="111" t="s">
        <v>255</v>
      </c>
      <c r="D88" s="114">
        <v>38.4</v>
      </c>
      <c r="E88">
        <v>29</v>
      </c>
      <c r="K88" s="2"/>
      <c r="L88" s="112">
        <v>45135</v>
      </c>
      <c r="N88" s="15">
        <f t="shared" si="5"/>
        <v>45155</v>
      </c>
      <c r="O88" s="112">
        <v>45155</v>
      </c>
      <c r="P88" s="10">
        <f t="shared" si="6"/>
        <v>-20</v>
      </c>
      <c r="Q88" s="10">
        <f t="shared" si="7"/>
        <v>0</v>
      </c>
      <c r="R88" s="10">
        <f t="shared" si="8"/>
        <v>-20</v>
      </c>
      <c r="S88" s="10">
        <f t="shared" si="9"/>
        <v>-50</v>
      </c>
    </row>
    <row r="89" spans="1:19" ht="12.75" x14ac:dyDescent="0.2">
      <c r="A89" s="111" t="s">
        <v>256</v>
      </c>
      <c r="B89" s="112">
        <v>45135</v>
      </c>
      <c r="C89" s="111" t="s">
        <v>257</v>
      </c>
      <c r="D89" s="114">
        <v>18.7</v>
      </c>
      <c r="E89">
        <v>29</v>
      </c>
      <c r="K89" s="2"/>
      <c r="L89" s="112">
        <v>45135</v>
      </c>
      <c r="N89" s="15">
        <f t="shared" si="5"/>
        <v>45155</v>
      </c>
      <c r="O89" s="112">
        <v>45155</v>
      </c>
      <c r="P89" s="10">
        <f t="shared" si="6"/>
        <v>-20</v>
      </c>
      <c r="Q89" s="10">
        <f t="shared" si="7"/>
        <v>0</v>
      </c>
      <c r="R89" s="10">
        <f t="shared" si="8"/>
        <v>-20</v>
      </c>
      <c r="S89" s="10">
        <f t="shared" si="9"/>
        <v>-50</v>
      </c>
    </row>
    <row r="90" spans="1:19" ht="12.75" x14ac:dyDescent="0.2">
      <c r="A90" s="111" t="s">
        <v>258</v>
      </c>
      <c r="B90" s="112">
        <v>45135</v>
      </c>
      <c r="C90" s="111" t="s">
        <v>259</v>
      </c>
      <c r="D90" s="114">
        <v>27.77</v>
      </c>
      <c r="E90">
        <v>29</v>
      </c>
      <c r="K90" s="2"/>
      <c r="L90" s="112">
        <v>45135</v>
      </c>
      <c r="N90" s="15">
        <f t="shared" si="5"/>
        <v>45155</v>
      </c>
      <c r="O90" s="112">
        <v>45155</v>
      </c>
      <c r="P90" s="10">
        <f t="shared" si="6"/>
        <v>-20</v>
      </c>
      <c r="Q90" s="10">
        <f t="shared" si="7"/>
        <v>0</v>
      </c>
      <c r="R90" s="10">
        <f t="shared" si="8"/>
        <v>-20</v>
      </c>
      <c r="S90" s="10">
        <f t="shared" si="9"/>
        <v>-50</v>
      </c>
    </row>
    <row r="91" spans="1:19" ht="12.75" x14ac:dyDescent="0.2">
      <c r="A91" s="111" t="s">
        <v>260</v>
      </c>
      <c r="B91" s="112">
        <v>45135</v>
      </c>
      <c r="C91" s="111" t="s">
        <v>261</v>
      </c>
      <c r="D91" s="114">
        <v>20.6</v>
      </c>
      <c r="E91">
        <v>29</v>
      </c>
      <c r="K91" s="2"/>
      <c r="L91" s="112">
        <v>45135</v>
      </c>
      <c r="N91" s="15">
        <f t="shared" si="5"/>
        <v>45155</v>
      </c>
      <c r="O91" s="112">
        <v>45155</v>
      </c>
      <c r="P91" s="10">
        <f t="shared" si="6"/>
        <v>-20</v>
      </c>
      <c r="Q91" s="10">
        <f t="shared" si="7"/>
        <v>0</v>
      </c>
      <c r="R91" s="10">
        <f t="shared" si="8"/>
        <v>-20</v>
      </c>
      <c r="S91" s="10">
        <f t="shared" si="9"/>
        <v>-50</v>
      </c>
    </row>
    <row r="92" spans="1:19" ht="12.75" x14ac:dyDescent="0.2">
      <c r="A92" s="111" t="s">
        <v>262</v>
      </c>
      <c r="B92" s="112">
        <v>45135</v>
      </c>
      <c r="C92" s="111" t="s">
        <v>263</v>
      </c>
      <c r="D92" s="114">
        <v>13.3</v>
      </c>
      <c r="E92">
        <v>29</v>
      </c>
      <c r="K92" s="2"/>
      <c r="L92" s="112">
        <v>45135</v>
      </c>
      <c r="N92" s="15">
        <f t="shared" si="5"/>
        <v>45155</v>
      </c>
      <c r="O92" s="112">
        <v>45155</v>
      </c>
      <c r="P92" s="10">
        <f t="shared" si="6"/>
        <v>-20</v>
      </c>
      <c r="Q92" s="10">
        <f t="shared" si="7"/>
        <v>0</v>
      </c>
      <c r="R92" s="10">
        <f t="shared" si="8"/>
        <v>-20</v>
      </c>
      <c r="S92" s="10">
        <f t="shared" si="9"/>
        <v>-50</v>
      </c>
    </row>
    <row r="93" spans="1:19" ht="12.75" x14ac:dyDescent="0.2">
      <c r="A93" s="111" t="s">
        <v>264</v>
      </c>
      <c r="B93" s="112">
        <v>45135</v>
      </c>
      <c r="C93" s="111" t="s">
        <v>265</v>
      </c>
      <c r="D93" s="114">
        <v>25.84</v>
      </c>
      <c r="E93">
        <v>29</v>
      </c>
      <c r="K93" s="2"/>
      <c r="L93" s="112">
        <v>45135</v>
      </c>
      <c r="N93" s="15">
        <f t="shared" si="5"/>
        <v>45155</v>
      </c>
      <c r="O93" s="112">
        <v>45155</v>
      </c>
      <c r="P93" s="10">
        <f t="shared" si="6"/>
        <v>-20</v>
      </c>
      <c r="Q93" s="10">
        <f t="shared" si="7"/>
        <v>0</v>
      </c>
      <c r="R93" s="10">
        <f t="shared" si="8"/>
        <v>-20</v>
      </c>
      <c r="S93" s="10">
        <f t="shared" si="9"/>
        <v>-50</v>
      </c>
    </row>
    <row r="94" spans="1:19" ht="12.75" x14ac:dyDescent="0.2">
      <c r="A94" s="111" t="s">
        <v>266</v>
      </c>
      <c r="B94" s="112">
        <v>45135</v>
      </c>
      <c r="C94" s="111" t="s">
        <v>267</v>
      </c>
      <c r="D94" s="114">
        <v>10.01</v>
      </c>
      <c r="E94">
        <v>29</v>
      </c>
      <c r="K94" s="2"/>
      <c r="L94" s="112">
        <v>45135</v>
      </c>
      <c r="N94" s="15">
        <f t="shared" si="5"/>
        <v>45155</v>
      </c>
      <c r="O94" s="112">
        <v>45155</v>
      </c>
      <c r="P94" s="10">
        <f t="shared" si="6"/>
        <v>-20</v>
      </c>
      <c r="Q94" s="10">
        <f t="shared" si="7"/>
        <v>0</v>
      </c>
      <c r="R94" s="10">
        <f t="shared" si="8"/>
        <v>-20</v>
      </c>
      <c r="S94" s="10">
        <f t="shared" si="9"/>
        <v>-50</v>
      </c>
    </row>
    <row r="95" spans="1:19" ht="12.75" x14ac:dyDescent="0.2">
      <c r="A95" s="111" t="s">
        <v>268</v>
      </c>
      <c r="B95" s="112">
        <v>45135</v>
      </c>
      <c r="C95" s="111" t="s">
        <v>269</v>
      </c>
      <c r="D95" s="114">
        <v>439.21</v>
      </c>
      <c r="E95">
        <v>29</v>
      </c>
      <c r="K95" s="2"/>
      <c r="L95" s="112">
        <v>45135</v>
      </c>
      <c r="N95" s="15">
        <f t="shared" si="5"/>
        <v>45155</v>
      </c>
      <c r="O95" s="112">
        <v>45155</v>
      </c>
      <c r="P95" s="10">
        <f t="shared" si="6"/>
        <v>-20</v>
      </c>
      <c r="Q95" s="10">
        <f t="shared" si="7"/>
        <v>0</v>
      </c>
      <c r="R95" s="10">
        <f t="shared" si="8"/>
        <v>-20</v>
      </c>
      <c r="S95" s="10">
        <f t="shared" si="9"/>
        <v>-50</v>
      </c>
    </row>
    <row r="96" spans="1:19" ht="12.75" x14ac:dyDescent="0.2">
      <c r="A96" s="111" t="s">
        <v>270</v>
      </c>
      <c r="B96" s="112">
        <v>45135</v>
      </c>
      <c r="C96" s="111" t="s">
        <v>271</v>
      </c>
      <c r="D96" s="114">
        <v>1542.92</v>
      </c>
      <c r="E96">
        <v>29</v>
      </c>
      <c r="K96" s="2"/>
      <c r="L96" s="112">
        <v>45135</v>
      </c>
      <c r="N96" s="15">
        <f t="shared" si="5"/>
        <v>45155</v>
      </c>
      <c r="O96" s="112">
        <v>45155</v>
      </c>
      <c r="P96" s="10">
        <f t="shared" si="6"/>
        <v>-20</v>
      </c>
      <c r="Q96" s="10">
        <f t="shared" si="7"/>
        <v>0</v>
      </c>
      <c r="R96" s="10">
        <f t="shared" si="8"/>
        <v>-20</v>
      </c>
      <c r="S96" s="10">
        <f t="shared" si="9"/>
        <v>-50</v>
      </c>
    </row>
    <row r="97" spans="1:19" ht="12.75" x14ac:dyDescent="0.2">
      <c r="A97" s="111" t="s">
        <v>272</v>
      </c>
      <c r="B97" s="112">
        <v>45135</v>
      </c>
      <c r="C97" s="111" t="s">
        <v>273</v>
      </c>
      <c r="D97" s="114">
        <v>373.65</v>
      </c>
      <c r="E97">
        <v>29</v>
      </c>
      <c r="K97" s="2"/>
      <c r="L97" s="112">
        <v>45135</v>
      </c>
      <c r="N97" s="15">
        <f t="shared" si="5"/>
        <v>45155</v>
      </c>
      <c r="O97" s="112">
        <v>45155</v>
      </c>
      <c r="P97" s="10">
        <f t="shared" si="6"/>
        <v>-20</v>
      </c>
      <c r="Q97" s="10">
        <f t="shared" si="7"/>
        <v>0</v>
      </c>
      <c r="R97" s="10">
        <f t="shared" si="8"/>
        <v>-20</v>
      </c>
      <c r="S97" s="10">
        <f t="shared" si="9"/>
        <v>-50</v>
      </c>
    </row>
    <row r="98" spans="1:19" ht="12.75" x14ac:dyDescent="0.2">
      <c r="A98" s="111" t="s">
        <v>274</v>
      </c>
      <c r="B98" s="112">
        <v>45135</v>
      </c>
      <c r="C98" s="111" t="s">
        <v>275</v>
      </c>
      <c r="D98" s="114">
        <v>389.79</v>
      </c>
      <c r="E98">
        <v>29</v>
      </c>
      <c r="K98" s="2"/>
      <c r="L98" s="112">
        <v>45135</v>
      </c>
      <c r="N98" s="15">
        <f t="shared" si="5"/>
        <v>45155</v>
      </c>
      <c r="O98" s="112">
        <v>45155</v>
      </c>
      <c r="P98" s="10">
        <f t="shared" si="6"/>
        <v>-20</v>
      </c>
      <c r="Q98" s="10">
        <f t="shared" si="7"/>
        <v>0</v>
      </c>
      <c r="R98" s="10">
        <f t="shared" si="8"/>
        <v>-20</v>
      </c>
      <c r="S98" s="10">
        <f t="shared" si="9"/>
        <v>-50</v>
      </c>
    </row>
    <row r="99" spans="1:19" ht="12.75" x14ac:dyDescent="0.2">
      <c r="A99" s="111" t="s">
        <v>276</v>
      </c>
      <c r="B99" s="112">
        <v>45135</v>
      </c>
      <c r="C99" s="111" t="s">
        <v>277</v>
      </c>
      <c r="D99" s="114">
        <v>260.11</v>
      </c>
      <c r="E99">
        <v>29</v>
      </c>
      <c r="K99" s="2"/>
      <c r="L99" s="112">
        <v>45135</v>
      </c>
      <c r="N99" s="15">
        <f t="shared" si="5"/>
        <v>45155</v>
      </c>
      <c r="O99" s="112">
        <v>45155</v>
      </c>
      <c r="P99" s="10">
        <f t="shared" si="6"/>
        <v>-20</v>
      </c>
      <c r="Q99" s="10">
        <f t="shared" si="7"/>
        <v>0</v>
      </c>
      <c r="R99" s="10">
        <f t="shared" si="8"/>
        <v>-20</v>
      </c>
      <c r="S99" s="10">
        <f t="shared" si="9"/>
        <v>-50</v>
      </c>
    </row>
    <row r="100" spans="1:19" ht="12.75" x14ac:dyDescent="0.2">
      <c r="A100" s="111" t="s">
        <v>278</v>
      </c>
      <c r="B100" s="112">
        <v>45135</v>
      </c>
      <c r="C100" s="111" t="s">
        <v>279</v>
      </c>
      <c r="D100" s="114">
        <v>1464.06</v>
      </c>
      <c r="E100">
        <v>29</v>
      </c>
      <c r="K100" s="2"/>
      <c r="L100" s="112">
        <v>45135</v>
      </c>
      <c r="N100" s="15">
        <f t="shared" si="5"/>
        <v>45138</v>
      </c>
      <c r="O100" s="112">
        <v>45138</v>
      </c>
      <c r="P100" s="10">
        <f t="shared" si="6"/>
        <v>-3</v>
      </c>
      <c r="Q100" s="10">
        <f t="shared" si="7"/>
        <v>0</v>
      </c>
      <c r="R100" s="10">
        <f t="shared" si="8"/>
        <v>-3</v>
      </c>
      <c r="S100" s="10">
        <f t="shared" si="9"/>
        <v>-33</v>
      </c>
    </row>
    <row r="101" spans="1:19" ht="12.75" x14ac:dyDescent="0.2">
      <c r="A101" s="111" t="s">
        <v>280</v>
      </c>
      <c r="B101" s="112">
        <v>45135</v>
      </c>
      <c r="C101" s="111" t="s">
        <v>281</v>
      </c>
      <c r="D101" s="114">
        <v>1108.17</v>
      </c>
      <c r="E101">
        <v>29</v>
      </c>
      <c r="K101" s="2"/>
      <c r="L101" s="112">
        <v>45135</v>
      </c>
      <c r="N101" s="15">
        <f t="shared" si="5"/>
        <v>45138</v>
      </c>
      <c r="O101" s="112">
        <v>45138</v>
      </c>
      <c r="P101" s="10">
        <f t="shared" si="6"/>
        <v>-3</v>
      </c>
      <c r="Q101" s="10">
        <f t="shared" si="7"/>
        <v>0</v>
      </c>
      <c r="R101" s="10">
        <f t="shared" si="8"/>
        <v>-3</v>
      </c>
      <c r="S101" s="10">
        <f t="shared" si="9"/>
        <v>-33</v>
      </c>
    </row>
    <row r="102" spans="1:19" ht="12.75" x14ac:dyDescent="0.2">
      <c r="A102" s="111" t="s">
        <v>282</v>
      </c>
      <c r="B102" s="112">
        <v>45138</v>
      </c>
      <c r="C102" s="111" t="s">
        <v>283</v>
      </c>
      <c r="D102" s="114">
        <v>93.1</v>
      </c>
      <c r="E102">
        <v>29</v>
      </c>
      <c r="K102" s="2"/>
      <c r="L102" s="112">
        <v>45138</v>
      </c>
      <c r="N102" s="15">
        <f t="shared" si="5"/>
        <v>45145</v>
      </c>
      <c r="O102" s="112">
        <v>45145</v>
      </c>
      <c r="P102" s="10">
        <f t="shared" si="6"/>
        <v>-7</v>
      </c>
      <c r="Q102" s="10">
        <f t="shared" si="7"/>
        <v>0</v>
      </c>
      <c r="R102" s="10">
        <f t="shared" si="8"/>
        <v>-7</v>
      </c>
      <c r="S102" s="10">
        <f t="shared" si="9"/>
        <v>-37</v>
      </c>
    </row>
    <row r="103" spans="1:19" ht="12.75" x14ac:dyDescent="0.2">
      <c r="A103" s="111" t="s">
        <v>284</v>
      </c>
      <c r="B103" s="112">
        <v>45134</v>
      </c>
      <c r="C103" s="111" t="s">
        <v>285</v>
      </c>
      <c r="D103" s="114">
        <v>382.28</v>
      </c>
      <c r="E103">
        <v>29</v>
      </c>
      <c r="K103" s="2"/>
      <c r="L103" s="112">
        <v>45134</v>
      </c>
      <c r="N103" s="15">
        <f t="shared" si="5"/>
        <v>45168</v>
      </c>
      <c r="O103" s="112">
        <v>45168</v>
      </c>
      <c r="P103" s="10">
        <f t="shared" si="6"/>
        <v>-34</v>
      </c>
      <c r="Q103" s="10">
        <f t="shared" si="7"/>
        <v>0</v>
      </c>
      <c r="R103" s="10">
        <f t="shared" si="8"/>
        <v>-34</v>
      </c>
      <c r="S103" s="10">
        <f t="shared" si="9"/>
        <v>-64</v>
      </c>
    </row>
    <row r="104" spans="1:19" ht="12.75" x14ac:dyDescent="0.2">
      <c r="A104" s="111" t="s">
        <v>286</v>
      </c>
      <c r="B104" s="112">
        <v>45135</v>
      </c>
      <c r="C104" s="111" t="s">
        <v>287</v>
      </c>
      <c r="D104" s="114">
        <v>677.6</v>
      </c>
      <c r="E104">
        <v>29</v>
      </c>
      <c r="K104" s="2"/>
      <c r="L104" s="112">
        <v>45135</v>
      </c>
      <c r="N104" s="15">
        <f t="shared" si="5"/>
        <v>45168</v>
      </c>
      <c r="O104" s="112">
        <v>45168</v>
      </c>
      <c r="P104" s="10">
        <f t="shared" si="6"/>
        <v>-33</v>
      </c>
      <c r="Q104" s="10">
        <f t="shared" si="7"/>
        <v>0</v>
      </c>
      <c r="R104" s="10">
        <f t="shared" si="8"/>
        <v>-33</v>
      </c>
      <c r="S104" s="10">
        <f t="shared" si="9"/>
        <v>-63</v>
      </c>
    </row>
    <row r="105" spans="1:19" ht="12.75" x14ac:dyDescent="0.2">
      <c r="A105" s="111" t="s">
        <v>288</v>
      </c>
      <c r="B105" s="112">
        <v>45139</v>
      </c>
      <c r="C105" s="111" t="s">
        <v>289</v>
      </c>
      <c r="D105" s="114">
        <v>4.8</v>
      </c>
      <c r="E105">
        <v>29</v>
      </c>
      <c r="K105" s="2"/>
      <c r="L105" s="112">
        <v>45139</v>
      </c>
      <c r="N105" s="15">
        <f t="shared" si="5"/>
        <v>45139</v>
      </c>
      <c r="O105" s="112">
        <v>45139</v>
      </c>
      <c r="P105" s="10">
        <f t="shared" si="6"/>
        <v>0</v>
      </c>
      <c r="Q105" s="10">
        <f t="shared" si="7"/>
        <v>0</v>
      </c>
      <c r="R105" s="10">
        <f t="shared" si="8"/>
        <v>0</v>
      </c>
      <c r="S105" s="10">
        <f t="shared" si="9"/>
        <v>-30</v>
      </c>
    </row>
    <row r="106" spans="1:19" ht="12.75" x14ac:dyDescent="0.2">
      <c r="A106" s="111" t="s">
        <v>290</v>
      </c>
      <c r="B106" s="112">
        <v>45139</v>
      </c>
      <c r="C106" s="111" t="s">
        <v>291</v>
      </c>
      <c r="D106" s="114">
        <v>137.34</v>
      </c>
      <c r="E106">
        <v>29</v>
      </c>
      <c r="K106" s="2"/>
      <c r="L106" s="112">
        <v>45139</v>
      </c>
      <c r="N106" s="15">
        <f t="shared" si="5"/>
        <v>45139</v>
      </c>
      <c r="O106" s="112">
        <v>45139</v>
      </c>
      <c r="P106" s="10">
        <f t="shared" si="6"/>
        <v>0</v>
      </c>
      <c r="Q106" s="10">
        <f t="shared" si="7"/>
        <v>0</v>
      </c>
      <c r="R106" s="10">
        <f t="shared" si="8"/>
        <v>0</v>
      </c>
      <c r="S106" s="10">
        <f t="shared" si="9"/>
        <v>-30</v>
      </c>
    </row>
    <row r="107" spans="1:19" ht="12.75" x14ac:dyDescent="0.2">
      <c r="A107" s="111" t="s">
        <v>292</v>
      </c>
      <c r="B107" s="112">
        <v>45138</v>
      </c>
      <c r="C107" s="111" t="s">
        <v>293</v>
      </c>
      <c r="D107" s="114">
        <v>968</v>
      </c>
      <c r="E107">
        <v>29</v>
      </c>
      <c r="K107" s="2"/>
      <c r="L107" s="112">
        <v>45138</v>
      </c>
      <c r="N107" s="15">
        <f t="shared" si="5"/>
        <v>45148</v>
      </c>
      <c r="O107" s="112">
        <v>45148</v>
      </c>
      <c r="P107" s="10">
        <f t="shared" si="6"/>
        <v>-10</v>
      </c>
      <c r="Q107" s="10">
        <f t="shared" si="7"/>
        <v>0</v>
      </c>
      <c r="R107" s="10">
        <f t="shared" si="8"/>
        <v>-10</v>
      </c>
      <c r="S107" s="10">
        <f t="shared" si="9"/>
        <v>-40</v>
      </c>
    </row>
    <row r="108" spans="1:19" ht="12.75" x14ac:dyDescent="0.2">
      <c r="A108" s="111" t="s">
        <v>294</v>
      </c>
      <c r="B108" s="112">
        <v>45119</v>
      </c>
      <c r="C108" s="111" t="s">
        <v>295</v>
      </c>
      <c r="D108" s="114">
        <v>2537.37</v>
      </c>
      <c r="E108">
        <v>29</v>
      </c>
      <c r="K108" s="2"/>
      <c r="L108" s="112">
        <v>45119</v>
      </c>
      <c r="N108" s="15">
        <f t="shared" si="5"/>
        <v>45168</v>
      </c>
      <c r="O108" s="112">
        <v>45168</v>
      </c>
      <c r="P108" s="10">
        <f t="shared" si="6"/>
        <v>-49</v>
      </c>
      <c r="Q108" s="10">
        <f t="shared" si="7"/>
        <v>0</v>
      </c>
      <c r="R108" s="10">
        <f t="shared" si="8"/>
        <v>-49</v>
      </c>
      <c r="S108" s="10">
        <f t="shared" si="9"/>
        <v>-79</v>
      </c>
    </row>
    <row r="109" spans="1:19" ht="12.75" x14ac:dyDescent="0.2">
      <c r="A109" s="111" t="s">
        <v>296</v>
      </c>
      <c r="B109" s="112">
        <v>45142</v>
      </c>
      <c r="C109" s="111" t="s">
        <v>297</v>
      </c>
      <c r="D109" s="114">
        <v>20</v>
      </c>
      <c r="E109">
        <v>29</v>
      </c>
      <c r="K109" s="2"/>
      <c r="L109" s="112">
        <v>45142</v>
      </c>
      <c r="N109" s="15">
        <f t="shared" si="5"/>
        <v>45167</v>
      </c>
      <c r="O109" s="112">
        <v>45167</v>
      </c>
      <c r="P109" s="10">
        <f t="shared" si="6"/>
        <v>-25</v>
      </c>
      <c r="Q109" s="10">
        <f t="shared" si="7"/>
        <v>0</v>
      </c>
      <c r="R109" s="10">
        <f t="shared" si="8"/>
        <v>-25</v>
      </c>
      <c r="S109" s="10">
        <f t="shared" si="9"/>
        <v>-55</v>
      </c>
    </row>
    <row r="110" spans="1:19" ht="12.75" x14ac:dyDescent="0.2">
      <c r="A110" s="111" t="s">
        <v>298</v>
      </c>
      <c r="B110" s="112">
        <v>45139</v>
      </c>
      <c r="C110" s="111" t="s">
        <v>299</v>
      </c>
      <c r="D110" s="114">
        <v>145.54</v>
      </c>
      <c r="E110">
        <v>29</v>
      </c>
      <c r="K110" s="2"/>
      <c r="L110" s="112">
        <v>45139</v>
      </c>
      <c r="N110" s="15">
        <f t="shared" si="5"/>
        <v>45167</v>
      </c>
      <c r="O110" s="112">
        <v>45167</v>
      </c>
      <c r="P110" s="10">
        <f t="shared" si="6"/>
        <v>-28</v>
      </c>
      <c r="Q110" s="10">
        <f t="shared" si="7"/>
        <v>0</v>
      </c>
      <c r="R110" s="10">
        <f t="shared" si="8"/>
        <v>-28</v>
      </c>
      <c r="S110" s="10">
        <f t="shared" si="9"/>
        <v>-58</v>
      </c>
    </row>
    <row r="111" spans="1:19" ht="12.75" x14ac:dyDescent="0.2">
      <c r="A111" s="111" t="s">
        <v>300</v>
      </c>
      <c r="B111" s="112">
        <v>45139</v>
      </c>
      <c r="C111" s="111" t="s">
        <v>301</v>
      </c>
      <c r="D111" s="114">
        <v>143.83000000000001</v>
      </c>
      <c r="E111">
        <v>29</v>
      </c>
      <c r="K111" s="2"/>
      <c r="L111" s="112">
        <v>45139</v>
      </c>
      <c r="N111" s="15">
        <f t="shared" si="5"/>
        <v>45140</v>
      </c>
      <c r="O111" s="112">
        <v>45140</v>
      </c>
      <c r="P111" s="10">
        <f t="shared" si="6"/>
        <v>-1</v>
      </c>
      <c r="Q111" s="10">
        <f t="shared" si="7"/>
        <v>0</v>
      </c>
      <c r="R111" s="10">
        <f t="shared" si="8"/>
        <v>-1</v>
      </c>
      <c r="S111" s="10">
        <f t="shared" si="9"/>
        <v>-31</v>
      </c>
    </row>
    <row r="112" spans="1:19" ht="12.75" x14ac:dyDescent="0.2">
      <c r="A112" s="111" t="s">
        <v>302</v>
      </c>
      <c r="B112" s="112">
        <v>45138</v>
      </c>
      <c r="C112" s="111" t="s">
        <v>303</v>
      </c>
      <c r="D112" s="114">
        <v>183.21</v>
      </c>
      <c r="E112">
        <v>29</v>
      </c>
      <c r="K112" s="2"/>
      <c r="L112" s="112">
        <v>45138</v>
      </c>
      <c r="N112" s="15">
        <f t="shared" si="5"/>
        <v>45145</v>
      </c>
      <c r="O112" s="112">
        <v>45145</v>
      </c>
      <c r="P112" s="10">
        <f t="shared" si="6"/>
        <v>-7</v>
      </c>
      <c r="Q112" s="10">
        <f t="shared" si="7"/>
        <v>0</v>
      </c>
      <c r="R112" s="10">
        <f t="shared" si="8"/>
        <v>-7</v>
      </c>
      <c r="S112" s="10">
        <f t="shared" si="9"/>
        <v>-37</v>
      </c>
    </row>
    <row r="113" spans="1:19" ht="12.75" x14ac:dyDescent="0.2">
      <c r="A113" s="111" t="s">
        <v>304</v>
      </c>
      <c r="B113" s="112">
        <v>45139</v>
      </c>
      <c r="C113" s="111" t="s">
        <v>305</v>
      </c>
      <c r="D113" s="114">
        <v>301.52999999999997</v>
      </c>
      <c r="E113">
        <v>29</v>
      </c>
      <c r="K113" s="2"/>
      <c r="L113" s="112">
        <v>45139</v>
      </c>
      <c r="N113" s="15">
        <f t="shared" si="5"/>
        <v>45168</v>
      </c>
      <c r="O113" s="112">
        <v>45168</v>
      </c>
      <c r="P113" s="10">
        <f t="shared" si="6"/>
        <v>-29</v>
      </c>
      <c r="Q113" s="10">
        <f t="shared" si="7"/>
        <v>0</v>
      </c>
      <c r="R113" s="10">
        <f t="shared" si="8"/>
        <v>-29</v>
      </c>
      <c r="S113" s="10">
        <f t="shared" si="9"/>
        <v>-59</v>
      </c>
    </row>
    <row r="114" spans="1:19" ht="12.75" x14ac:dyDescent="0.2">
      <c r="A114" s="111" t="s">
        <v>306</v>
      </c>
      <c r="B114" s="112">
        <v>45138</v>
      </c>
      <c r="C114" s="111" t="s">
        <v>307</v>
      </c>
      <c r="D114" s="114">
        <v>242.73</v>
      </c>
      <c r="E114">
        <v>29</v>
      </c>
      <c r="K114" s="2"/>
      <c r="L114" s="112">
        <v>45138</v>
      </c>
      <c r="N114" s="15">
        <f t="shared" si="5"/>
        <v>45145</v>
      </c>
      <c r="O114" s="112">
        <v>45145</v>
      </c>
      <c r="P114" s="10">
        <f t="shared" si="6"/>
        <v>-7</v>
      </c>
      <c r="Q114" s="10">
        <f t="shared" si="7"/>
        <v>0</v>
      </c>
      <c r="R114" s="10">
        <f t="shared" si="8"/>
        <v>-7</v>
      </c>
      <c r="S114" s="10">
        <f t="shared" si="9"/>
        <v>-37</v>
      </c>
    </row>
    <row r="115" spans="1:19" ht="12.75" x14ac:dyDescent="0.2">
      <c r="A115" s="111" t="s">
        <v>308</v>
      </c>
      <c r="B115" s="112">
        <v>45139</v>
      </c>
      <c r="C115" s="111" t="s">
        <v>309</v>
      </c>
      <c r="D115" s="114">
        <v>1530.96</v>
      </c>
      <c r="E115">
        <v>29</v>
      </c>
      <c r="K115" s="2"/>
      <c r="L115" s="112">
        <v>45139</v>
      </c>
      <c r="N115" s="15">
        <f t="shared" si="5"/>
        <v>45168</v>
      </c>
      <c r="O115" s="112">
        <v>45168</v>
      </c>
      <c r="P115" s="10">
        <f t="shared" si="6"/>
        <v>-29</v>
      </c>
      <c r="Q115" s="10">
        <f t="shared" si="7"/>
        <v>0</v>
      </c>
      <c r="R115" s="10">
        <f t="shared" si="8"/>
        <v>-29</v>
      </c>
      <c r="S115" s="10">
        <f t="shared" si="9"/>
        <v>-59</v>
      </c>
    </row>
    <row r="116" spans="1:19" ht="12.75" x14ac:dyDescent="0.2">
      <c r="A116" s="111" t="s">
        <v>310</v>
      </c>
      <c r="B116" s="112">
        <v>45139</v>
      </c>
      <c r="C116" s="111" t="s">
        <v>311</v>
      </c>
      <c r="D116" s="114">
        <v>2015.86</v>
      </c>
      <c r="E116">
        <v>29</v>
      </c>
      <c r="K116" s="2"/>
      <c r="L116" s="112">
        <v>45139</v>
      </c>
      <c r="N116" s="15">
        <f t="shared" si="5"/>
        <v>45168</v>
      </c>
      <c r="O116" s="112">
        <v>45168</v>
      </c>
      <c r="P116" s="10">
        <f t="shared" si="6"/>
        <v>-29</v>
      </c>
      <c r="Q116" s="10">
        <f t="shared" si="7"/>
        <v>0</v>
      </c>
      <c r="R116" s="10">
        <f t="shared" si="8"/>
        <v>-29</v>
      </c>
      <c r="S116" s="10">
        <f t="shared" si="9"/>
        <v>-59</v>
      </c>
    </row>
    <row r="117" spans="1:19" ht="12.75" x14ac:dyDescent="0.2">
      <c r="A117" s="111" t="s">
        <v>312</v>
      </c>
      <c r="B117" s="112">
        <v>45138</v>
      </c>
      <c r="C117" s="111" t="s">
        <v>313</v>
      </c>
      <c r="D117" s="114">
        <v>5203</v>
      </c>
      <c r="E117">
        <v>29</v>
      </c>
      <c r="K117" s="2"/>
      <c r="L117" s="112">
        <v>45138</v>
      </c>
      <c r="N117" s="15">
        <f t="shared" si="5"/>
        <v>45168</v>
      </c>
      <c r="O117" s="112">
        <v>45168</v>
      </c>
      <c r="P117" s="10">
        <f t="shared" si="6"/>
        <v>-30</v>
      </c>
      <c r="Q117" s="10">
        <f t="shared" si="7"/>
        <v>0</v>
      </c>
      <c r="R117" s="10">
        <f t="shared" si="8"/>
        <v>-30</v>
      </c>
      <c r="S117" s="10">
        <f t="shared" si="9"/>
        <v>-60</v>
      </c>
    </row>
    <row r="118" spans="1:19" ht="12.75" x14ac:dyDescent="0.2">
      <c r="A118" s="111" t="s">
        <v>314</v>
      </c>
      <c r="B118" s="112">
        <v>45159</v>
      </c>
      <c r="C118" s="111" t="s">
        <v>315</v>
      </c>
      <c r="D118" s="114">
        <v>33.880000000000003</v>
      </c>
      <c r="E118">
        <v>29</v>
      </c>
      <c r="K118" s="2"/>
      <c r="L118" s="112">
        <v>45159</v>
      </c>
      <c r="N118" s="15">
        <f t="shared" si="5"/>
        <v>45168</v>
      </c>
      <c r="O118" s="112">
        <v>45168</v>
      </c>
      <c r="P118" s="10">
        <f t="shared" si="6"/>
        <v>-9</v>
      </c>
      <c r="Q118" s="10">
        <f t="shared" si="7"/>
        <v>0</v>
      </c>
      <c r="R118" s="10">
        <f t="shared" si="8"/>
        <v>-9</v>
      </c>
      <c r="S118" s="10">
        <f t="shared" si="9"/>
        <v>-39</v>
      </c>
    </row>
    <row r="119" spans="1:19" ht="12.75" x14ac:dyDescent="0.2">
      <c r="A119" s="111" t="s">
        <v>316</v>
      </c>
      <c r="B119" s="112">
        <v>45108</v>
      </c>
      <c r="C119" s="111" t="s">
        <v>317</v>
      </c>
      <c r="D119" s="114">
        <v>38.76</v>
      </c>
      <c r="E119">
        <v>29</v>
      </c>
      <c r="K119" s="2"/>
      <c r="L119" s="112">
        <v>45108</v>
      </c>
      <c r="N119" s="15">
        <f t="shared" si="5"/>
        <v>45112</v>
      </c>
      <c r="O119" s="112">
        <v>45112</v>
      </c>
      <c r="P119" s="10">
        <f t="shared" si="6"/>
        <v>-4</v>
      </c>
      <c r="Q119" s="10">
        <f t="shared" si="7"/>
        <v>0</v>
      </c>
      <c r="R119" s="10">
        <f t="shared" si="8"/>
        <v>-4</v>
      </c>
      <c r="S119" s="10">
        <f t="shared" si="9"/>
        <v>-34</v>
      </c>
    </row>
    <row r="120" spans="1:19" ht="12.75" x14ac:dyDescent="0.2">
      <c r="A120" s="111" t="s">
        <v>318</v>
      </c>
      <c r="B120" s="112">
        <v>45154</v>
      </c>
      <c r="C120" s="111" t="s">
        <v>319</v>
      </c>
      <c r="D120" s="114">
        <v>145.19999999999999</v>
      </c>
      <c r="E120">
        <v>29</v>
      </c>
      <c r="K120" s="2"/>
      <c r="L120" s="112">
        <v>45154</v>
      </c>
      <c r="N120" s="15">
        <f t="shared" si="5"/>
        <v>45168</v>
      </c>
      <c r="O120" s="112">
        <v>45168</v>
      </c>
      <c r="P120" s="10">
        <f t="shared" si="6"/>
        <v>-14</v>
      </c>
      <c r="Q120" s="10">
        <f t="shared" si="7"/>
        <v>0</v>
      </c>
      <c r="R120" s="10">
        <f t="shared" si="8"/>
        <v>-14</v>
      </c>
      <c r="S120" s="10">
        <f t="shared" si="9"/>
        <v>-44</v>
      </c>
    </row>
    <row r="121" spans="1:19" ht="12.75" x14ac:dyDescent="0.2">
      <c r="A121" s="111" t="s">
        <v>320</v>
      </c>
      <c r="B121" s="112">
        <v>45139</v>
      </c>
      <c r="C121" s="111" t="s">
        <v>321</v>
      </c>
      <c r="D121" s="114">
        <v>508.2</v>
      </c>
      <c r="E121">
        <v>29</v>
      </c>
      <c r="K121" s="2"/>
      <c r="L121" s="112">
        <v>45139</v>
      </c>
      <c r="N121" s="15">
        <f t="shared" si="5"/>
        <v>45184</v>
      </c>
      <c r="O121" s="112">
        <v>45184</v>
      </c>
      <c r="P121" s="10">
        <f t="shared" si="6"/>
        <v>-45</v>
      </c>
      <c r="Q121" s="10">
        <f t="shared" si="7"/>
        <v>0</v>
      </c>
      <c r="R121" s="10">
        <f t="shared" si="8"/>
        <v>-45</v>
      </c>
      <c r="S121" s="10">
        <f t="shared" si="9"/>
        <v>-75</v>
      </c>
    </row>
    <row r="122" spans="1:19" ht="12.75" x14ac:dyDescent="0.2">
      <c r="A122" s="111" t="s">
        <v>322</v>
      </c>
      <c r="B122" s="112">
        <v>45170</v>
      </c>
      <c r="C122" s="111" t="s">
        <v>323</v>
      </c>
      <c r="D122" s="114">
        <v>24.99</v>
      </c>
      <c r="E122">
        <v>29</v>
      </c>
      <c r="K122" s="2"/>
      <c r="L122" s="112">
        <v>45170</v>
      </c>
      <c r="N122" s="15">
        <f t="shared" si="5"/>
        <v>45170</v>
      </c>
      <c r="O122" s="112">
        <v>45170</v>
      </c>
      <c r="P122" s="10">
        <f t="shared" si="6"/>
        <v>0</v>
      </c>
      <c r="Q122" s="10">
        <f t="shared" si="7"/>
        <v>0</v>
      </c>
      <c r="R122" s="10">
        <f t="shared" si="8"/>
        <v>0</v>
      </c>
      <c r="S122" s="10">
        <f t="shared" si="9"/>
        <v>-30</v>
      </c>
    </row>
    <row r="123" spans="1:19" ht="12.75" x14ac:dyDescent="0.2">
      <c r="A123" s="111" t="s">
        <v>324</v>
      </c>
      <c r="B123" s="112">
        <v>45170</v>
      </c>
      <c r="C123" s="111" t="s">
        <v>325</v>
      </c>
      <c r="D123" s="114">
        <v>137.34</v>
      </c>
      <c r="E123">
        <v>29</v>
      </c>
      <c r="K123" s="2"/>
      <c r="L123" s="112">
        <v>45170</v>
      </c>
      <c r="N123" s="15">
        <f t="shared" si="5"/>
        <v>45170</v>
      </c>
      <c r="O123" s="112">
        <v>45170</v>
      </c>
      <c r="P123" s="10">
        <f t="shared" si="6"/>
        <v>0</v>
      </c>
      <c r="Q123" s="10">
        <f t="shared" si="7"/>
        <v>0</v>
      </c>
      <c r="R123" s="10">
        <f t="shared" si="8"/>
        <v>0</v>
      </c>
      <c r="S123" s="10">
        <f t="shared" si="9"/>
        <v>-30</v>
      </c>
    </row>
    <row r="124" spans="1:19" ht="12.75" x14ac:dyDescent="0.2">
      <c r="A124" s="111" t="s">
        <v>326</v>
      </c>
      <c r="B124" s="112">
        <v>45169</v>
      </c>
      <c r="C124" s="111" t="s">
        <v>327</v>
      </c>
      <c r="D124" s="114">
        <v>962.99</v>
      </c>
      <c r="E124">
        <v>29</v>
      </c>
      <c r="K124" s="2"/>
      <c r="L124" s="112">
        <v>45169</v>
      </c>
      <c r="N124" s="15">
        <f t="shared" si="5"/>
        <v>45199</v>
      </c>
      <c r="O124" s="112">
        <v>45199</v>
      </c>
      <c r="P124" s="10">
        <f t="shared" si="6"/>
        <v>-30</v>
      </c>
      <c r="Q124" s="10">
        <f t="shared" si="7"/>
        <v>0</v>
      </c>
      <c r="R124" s="10">
        <f t="shared" si="8"/>
        <v>-30</v>
      </c>
      <c r="S124" s="10">
        <f t="shared" si="9"/>
        <v>-60</v>
      </c>
    </row>
    <row r="125" spans="1:19" ht="12.75" x14ac:dyDescent="0.2">
      <c r="A125" s="111" t="s">
        <v>328</v>
      </c>
      <c r="B125" s="112">
        <v>45169</v>
      </c>
      <c r="C125" s="111" t="s">
        <v>329</v>
      </c>
      <c r="D125" s="114">
        <v>677.6</v>
      </c>
      <c r="E125">
        <v>29</v>
      </c>
      <c r="K125" s="2"/>
      <c r="L125" s="112">
        <v>45169</v>
      </c>
      <c r="N125" s="15">
        <f t="shared" si="5"/>
        <v>45199</v>
      </c>
      <c r="O125" s="112">
        <v>45199</v>
      </c>
      <c r="P125" s="10">
        <f t="shared" si="6"/>
        <v>-30</v>
      </c>
      <c r="Q125" s="10">
        <f t="shared" si="7"/>
        <v>0</v>
      </c>
      <c r="R125" s="10">
        <f t="shared" si="8"/>
        <v>-30</v>
      </c>
      <c r="S125" s="10">
        <f t="shared" si="9"/>
        <v>-60</v>
      </c>
    </row>
    <row r="126" spans="1:19" ht="12.75" x14ac:dyDescent="0.2">
      <c r="A126" s="111" t="s">
        <v>330</v>
      </c>
      <c r="B126" s="112">
        <v>45169</v>
      </c>
      <c r="C126" s="111" t="s">
        <v>331</v>
      </c>
      <c r="D126" s="114">
        <v>331.54</v>
      </c>
      <c r="E126">
        <v>29</v>
      </c>
      <c r="K126" s="2"/>
      <c r="L126" s="112">
        <v>45169</v>
      </c>
      <c r="N126" s="15">
        <f t="shared" si="5"/>
        <v>45169</v>
      </c>
      <c r="O126" s="112">
        <v>45169</v>
      </c>
      <c r="P126" s="10">
        <f t="shared" si="6"/>
        <v>0</v>
      </c>
      <c r="Q126" s="10">
        <f t="shared" si="7"/>
        <v>0</v>
      </c>
      <c r="R126" s="10">
        <f t="shared" si="8"/>
        <v>0</v>
      </c>
      <c r="S126" s="10">
        <f t="shared" si="9"/>
        <v>-30</v>
      </c>
    </row>
    <row r="127" spans="1:19" ht="12.75" x14ac:dyDescent="0.2">
      <c r="A127" s="111" t="s">
        <v>332</v>
      </c>
      <c r="B127" s="112">
        <v>45169</v>
      </c>
      <c r="C127" s="111" t="s">
        <v>333</v>
      </c>
      <c r="D127" s="114">
        <v>1464.06</v>
      </c>
      <c r="E127">
        <v>29</v>
      </c>
      <c r="K127" s="2"/>
      <c r="L127" s="112">
        <v>45169</v>
      </c>
      <c r="N127" s="15">
        <f t="shared" si="5"/>
        <v>45169</v>
      </c>
      <c r="O127" s="112">
        <v>45169</v>
      </c>
      <c r="P127" s="10">
        <f t="shared" si="6"/>
        <v>0</v>
      </c>
      <c r="Q127" s="10">
        <f t="shared" si="7"/>
        <v>0</v>
      </c>
      <c r="R127" s="10">
        <f t="shared" si="8"/>
        <v>0</v>
      </c>
      <c r="S127" s="10">
        <f t="shared" si="9"/>
        <v>-30</v>
      </c>
    </row>
    <row r="128" spans="1:19" ht="12.75" x14ac:dyDescent="0.2">
      <c r="A128" s="111" t="s">
        <v>334</v>
      </c>
      <c r="B128" s="112">
        <v>45169</v>
      </c>
      <c r="C128" s="111" t="s">
        <v>335</v>
      </c>
      <c r="D128" s="114">
        <v>1108.17</v>
      </c>
      <c r="E128">
        <v>29</v>
      </c>
      <c r="K128" s="2"/>
      <c r="L128" s="112">
        <v>45169</v>
      </c>
      <c r="N128" s="15">
        <f t="shared" si="5"/>
        <v>45169</v>
      </c>
      <c r="O128" s="112">
        <v>45169</v>
      </c>
      <c r="P128" s="10">
        <f t="shared" si="6"/>
        <v>0</v>
      </c>
      <c r="Q128" s="10">
        <f t="shared" si="7"/>
        <v>0</v>
      </c>
      <c r="R128" s="10">
        <f t="shared" si="8"/>
        <v>0</v>
      </c>
      <c r="S128" s="10">
        <f t="shared" si="9"/>
        <v>-30</v>
      </c>
    </row>
    <row r="129" spans="1:19" ht="12.75" x14ac:dyDescent="0.2">
      <c r="A129" s="111" t="s">
        <v>336</v>
      </c>
      <c r="B129" s="112">
        <v>45169</v>
      </c>
      <c r="C129" s="111" t="s">
        <v>337</v>
      </c>
      <c r="D129" s="114">
        <v>2565.1999999999998</v>
      </c>
      <c r="E129">
        <v>29</v>
      </c>
      <c r="K129" s="2"/>
      <c r="L129" s="112">
        <v>45169</v>
      </c>
      <c r="N129" s="15">
        <f t="shared" si="5"/>
        <v>45184</v>
      </c>
      <c r="O129" s="112">
        <v>45184</v>
      </c>
      <c r="P129" s="10">
        <f t="shared" si="6"/>
        <v>-15</v>
      </c>
      <c r="Q129" s="10">
        <f t="shared" si="7"/>
        <v>0</v>
      </c>
      <c r="R129" s="10">
        <f t="shared" si="8"/>
        <v>-15</v>
      </c>
      <c r="S129" s="10">
        <f t="shared" si="9"/>
        <v>-45</v>
      </c>
    </row>
    <row r="130" spans="1:19" ht="12.75" x14ac:dyDescent="0.2">
      <c r="A130" s="111" t="s">
        <v>338</v>
      </c>
      <c r="B130" s="112">
        <v>45169</v>
      </c>
      <c r="C130" s="111" t="s">
        <v>339</v>
      </c>
      <c r="D130" s="114">
        <v>7260</v>
      </c>
      <c r="E130">
        <v>29</v>
      </c>
      <c r="K130" s="2"/>
      <c r="L130" s="112">
        <v>45169</v>
      </c>
      <c r="N130" s="15">
        <f t="shared" si="5"/>
        <v>45184</v>
      </c>
      <c r="O130" s="112">
        <v>45184</v>
      </c>
      <c r="P130" s="10">
        <f t="shared" si="6"/>
        <v>-15</v>
      </c>
      <c r="Q130" s="10">
        <f t="shared" si="7"/>
        <v>0</v>
      </c>
      <c r="R130" s="10">
        <f t="shared" si="8"/>
        <v>-15</v>
      </c>
      <c r="S130" s="10">
        <f t="shared" si="9"/>
        <v>-45</v>
      </c>
    </row>
    <row r="131" spans="1:19" ht="12.75" x14ac:dyDescent="0.2">
      <c r="A131" s="111" t="s">
        <v>340</v>
      </c>
      <c r="B131" s="112">
        <v>45161</v>
      </c>
      <c r="C131" s="111" t="s">
        <v>341</v>
      </c>
      <c r="D131" s="114">
        <v>2438.81</v>
      </c>
      <c r="E131">
        <v>29</v>
      </c>
      <c r="K131" s="2"/>
      <c r="L131" s="112">
        <v>45161</v>
      </c>
      <c r="N131" s="15">
        <f t="shared" si="5"/>
        <v>45168</v>
      </c>
      <c r="O131" s="112">
        <v>45168</v>
      </c>
      <c r="P131" s="10">
        <f t="shared" si="6"/>
        <v>-7</v>
      </c>
      <c r="Q131" s="10">
        <f t="shared" si="7"/>
        <v>0</v>
      </c>
      <c r="R131" s="10">
        <f t="shared" si="8"/>
        <v>-7</v>
      </c>
      <c r="S131" s="10">
        <f t="shared" si="9"/>
        <v>-37</v>
      </c>
    </row>
    <row r="132" spans="1:19" ht="12.75" x14ac:dyDescent="0.2">
      <c r="A132" s="111" t="s">
        <v>342</v>
      </c>
      <c r="B132" s="112">
        <v>45148</v>
      </c>
      <c r="C132" s="111" t="s">
        <v>343</v>
      </c>
      <c r="D132" s="114">
        <v>121.22</v>
      </c>
      <c r="E132">
        <v>29</v>
      </c>
      <c r="K132" s="2"/>
      <c r="L132" s="112">
        <v>45148</v>
      </c>
      <c r="N132" s="15">
        <f t="shared" si="5"/>
        <v>45197</v>
      </c>
      <c r="O132" s="112">
        <v>45197</v>
      </c>
      <c r="P132" s="10">
        <f t="shared" si="6"/>
        <v>-49</v>
      </c>
      <c r="Q132" s="10">
        <f t="shared" si="7"/>
        <v>0</v>
      </c>
      <c r="R132" s="10">
        <f t="shared" si="8"/>
        <v>-49</v>
      </c>
      <c r="S132" s="10">
        <f t="shared" si="9"/>
        <v>-79</v>
      </c>
    </row>
    <row r="133" spans="1:19" ht="12.75" x14ac:dyDescent="0.2">
      <c r="A133" s="111" t="s">
        <v>344</v>
      </c>
      <c r="B133" s="112">
        <v>45148</v>
      </c>
      <c r="C133" s="111" t="s">
        <v>345</v>
      </c>
      <c r="D133" s="114">
        <v>121.22</v>
      </c>
      <c r="E133">
        <v>29</v>
      </c>
      <c r="K133" s="2"/>
      <c r="L133" s="112">
        <v>45148</v>
      </c>
      <c r="N133" s="15">
        <f t="shared" si="5"/>
        <v>45197</v>
      </c>
      <c r="O133" s="112">
        <v>45197</v>
      </c>
      <c r="P133" s="10">
        <f t="shared" si="6"/>
        <v>-49</v>
      </c>
      <c r="Q133" s="10">
        <f t="shared" si="7"/>
        <v>0</v>
      </c>
      <c r="R133" s="10">
        <f t="shared" si="8"/>
        <v>-49</v>
      </c>
      <c r="S133" s="10">
        <f t="shared" si="9"/>
        <v>-79</v>
      </c>
    </row>
    <row r="134" spans="1:19" ht="12.75" x14ac:dyDescent="0.2">
      <c r="A134" s="111" t="s">
        <v>346</v>
      </c>
      <c r="B134" s="112">
        <v>45142</v>
      </c>
      <c r="C134" s="111" t="s">
        <v>347</v>
      </c>
      <c r="D134" s="114">
        <v>309.39999999999998</v>
      </c>
      <c r="E134">
        <v>29</v>
      </c>
      <c r="K134" s="2"/>
      <c r="L134" s="112">
        <v>45142</v>
      </c>
      <c r="N134" s="15">
        <f t="shared" si="5"/>
        <v>45197</v>
      </c>
      <c r="O134" s="112">
        <v>45197</v>
      </c>
      <c r="P134" s="10">
        <f t="shared" si="6"/>
        <v>-55</v>
      </c>
      <c r="Q134" s="10">
        <f t="shared" si="7"/>
        <v>0</v>
      </c>
      <c r="R134" s="10">
        <f t="shared" si="8"/>
        <v>-55</v>
      </c>
      <c r="S134" s="10">
        <f t="shared" si="9"/>
        <v>-85</v>
      </c>
    </row>
    <row r="135" spans="1:19" ht="12.75" x14ac:dyDescent="0.2">
      <c r="A135" s="111" t="s">
        <v>348</v>
      </c>
      <c r="B135" s="112">
        <v>45142</v>
      </c>
      <c r="C135" s="111" t="s">
        <v>349</v>
      </c>
      <c r="D135" s="114">
        <v>84.85</v>
      </c>
      <c r="E135">
        <v>29</v>
      </c>
      <c r="K135" s="2"/>
      <c r="L135" s="112">
        <v>45142</v>
      </c>
      <c r="N135" s="15">
        <f t="shared" ref="N135:N198" si="10">+O135</f>
        <v>45197</v>
      </c>
      <c r="O135" s="112">
        <v>45197</v>
      </c>
      <c r="P135" s="10">
        <f t="shared" ref="P135:P198" si="11">+L135-N135</f>
        <v>-55</v>
      </c>
      <c r="Q135" s="10">
        <f t="shared" ref="Q135:Q198" si="12">+N135-O135</f>
        <v>0</v>
      </c>
      <c r="R135" s="10">
        <f t="shared" ref="R135:R198" si="13">+L135-O135</f>
        <v>-55</v>
      </c>
      <c r="S135" s="10">
        <f t="shared" ref="S135:S198" si="14">+R135-30</f>
        <v>-85</v>
      </c>
    </row>
    <row r="136" spans="1:19" ht="12.75" x14ac:dyDescent="0.2">
      <c r="A136" s="111" t="s">
        <v>350</v>
      </c>
      <c r="B136" s="112">
        <v>45170</v>
      </c>
      <c r="C136" s="111" t="s">
        <v>351</v>
      </c>
      <c r="D136" s="114">
        <v>253</v>
      </c>
      <c r="E136">
        <v>29</v>
      </c>
      <c r="K136" s="2"/>
      <c r="L136" s="112">
        <v>45170</v>
      </c>
      <c r="N136" s="15">
        <f t="shared" si="10"/>
        <v>45174</v>
      </c>
      <c r="O136" s="112">
        <v>45174</v>
      </c>
      <c r="P136" s="10">
        <f t="shared" si="11"/>
        <v>-4</v>
      </c>
      <c r="Q136" s="10">
        <f t="shared" si="12"/>
        <v>0</v>
      </c>
      <c r="R136" s="10">
        <f t="shared" si="13"/>
        <v>-4</v>
      </c>
      <c r="S136" s="10">
        <f t="shared" si="14"/>
        <v>-34</v>
      </c>
    </row>
    <row r="137" spans="1:19" ht="12.75" x14ac:dyDescent="0.2">
      <c r="A137" s="111" t="s">
        <v>352</v>
      </c>
      <c r="B137" s="112">
        <v>45169</v>
      </c>
      <c r="C137" s="111" t="s">
        <v>353</v>
      </c>
      <c r="D137" s="114">
        <v>68.92</v>
      </c>
      <c r="E137">
        <v>29</v>
      </c>
      <c r="K137" s="2"/>
      <c r="L137" s="112">
        <v>45169</v>
      </c>
      <c r="N137" s="15">
        <f t="shared" si="10"/>
        <v>45174</v>
      </c>
      <c r="O137" s="112">
        <v>45174</v>
      </c>
      <c r="P137" s="10">
        <f t="shared" si="11"/>
        <v>-5</v>
      </c>
      <c r="Q137" s="10">
        <f t="shared" si="12"/>
        <v>0</v>
      </c>
      <c r="R137" s="10">
        <f t="shared" si="13"/>
        <v>-5</v>
      </c>
      <c r="S137" s="10">
        <f t="shared" si="14"/>
        <v>-35</v>
      </c>
    </row>
    <row r="138" spans="1:19" ht="12.75" x14ac:dyDescent="0.2">
      <c r="A138" s="111" t="s">
        <v>354</v>
      </c>
      <c r="B138" s="112">
        <v>45169</v>
      </c>
      <c r="C138" s="111" t="s">
        <v>355</v>
      </c>
      <c r="D138" s="114">
        <v>383.92</v>
      </c>
      <c r="E138">
        <v>29</v>
      </c>
      <c r="K138" s="2"/>
      <c r="L138" s="112">
        <v>45140</v>
      </c>
      <c r="N138" s="15">
        <f t="shared" si="10"/>
        <v>45175</v>
      </c>
      <c r="O138" s="112">
        <v>45175</v>
      </c>
      <c r="P138" s="10">
        <f t="shared" si="11"/>
        <v>-35</v>
      </c>
      <c r="Q138" s="10">
        <f t="shared" si="12"/>
        <v>0</v>
      </c>
      <c r="R138" s="10">
        <f t="shared" si="13"/>
        <v>-35</v>
      </c>
      <c r="S138" s="10">
        <f t="shared" si="14"/>
        <v>-65</v>
      </c>
    </row>
    <row r="139" spans="1:19" ht="12.75" x14ac:dyDescent="0.2">
      <c r="A139" s="111" t="s">
        <v>356</v>
      </c>
      <c r="B139" s="112">
        <v>45173</v>
      </c>
      <c r="C139" s="111" t="s">
        <v>357</v>
      </c>
      <c r="D139" s="114">
        <v>2676.52</v>
      </c>
      <c r="E139">
        <v>29</v>
      </c>
      <c r="K139" s="2"/>
      <c r="L139" s="112">
        <v>45173</v>
      </c>
      <c r="N139" s="15">
        <f t="shared" si="10"/>
        <v>45184</v>
      </c>
      <c r="O139" s="112">
        <v>45184</v>
      </c>
      <c r="P139" s="10">
        <f t="shared" si="11"/>
        <v>-11</v>
      </c>
      <c r="Q139" s="10">
        <f t="shared" si="12"/>
        <v>0</v>
      </c>
      <c r="R139" s="10">
        <f t="shared" si="13"/>
        <v>-11</v>
      </c>
      <c r="S139" s="10">
        <f t="shared" si="14"/>
        <v>-41</v>
      </c>
    </row>
    <row r="140" spans="1:19" ht="12.75" x14ac:dyDescent="0.2">
      <c r="A140" s="111" t="s">
        <v>358</v>
      </c>
      <c r="B140" s="112">
        <v>45173</v>
      </c>
      <c r="C140" s="111" t="s">
        <v>359</v>
      </c>
      <c r="D140" s="114">
        <v>188.88</v>
      </c>
      <c r="E140">
        <v>29</v>
      </c>
      <c r="K140" s="2"/>
      <c r="L140" s="112">
        <v>45173</v>
      </c>
      <c r="N140" s="15">
        <f t="shared" si="10"/>
        <v>45184</v>
      </c>
      <c r="O140" s="112">
        <v>45184</v>
      </c>
      <c r="P140" s="10">
        <f t="shared" si="11"/>
        <v>-11</v>
      </c>
      <c r="Q140" s="10">
        <f t="shared" si="12"/>
        <v>0</v>
      </c>
      <c r="R140" s="10">
        <f t="shared" si="13"/>
        <v>-11</v>
      </c>
      <c r="S140" s="10">
        <f t="shared" si="14"/>
        <v>-41</v>
      </c>
    </row>
    <row r="141" spans="1:19" ht="12.75" x14ac:dyDescent="0.2">
      <c r="A141" s="111" t="s">
        <v>360</v>
      </c>
      <c r="B141" s="112">
        <v>45168</v>
      </c>
      <c r="C141" s="111" t="s">
        <v>361</v>
      </c>
      <c r="D141" s="114">
        <v>16.68</v>
      </c>
      <c r="E141">
        <v>29</v>
      </c>
      <c r="K141" s="2"/>
      <c r="L141" s="112">
        <v>45168</v>
      </c>
      <c r="N141" s="15">
        <f t="shared" si="10"/>
        <v>45188</v>
      </c>
      <c r="O141" s="112">
        <v>45188</v>
      </c>
      <c r="P141" s="10">
        <f t="shared" si="11"/>
        <v>-20</v>
      </c>
      <c r="Q141" s="10">
        <f t="shared" si="12"/>
        <v>0</v>
      </c>
      <c r="R141" s="10">
        <f t="shared" si="13"/>
        <v>-20</v>
      </c>
      <c r="S141" s="10">
        <f t="shared" si="14"/>
        <v>-50</v>
      </c>
    </row>
    <row r="142" spans="1:19" ht="12.75" x14ac:dyDescent="0.2">
      <c r="A142" s="111" t="s">
        <v>362</v>
      </c>
      <c r="B142" s="112">
        <v>45168</v>
      </c>
      <c r="C142" s="111" t="s">
        <v>363</v>
      </c>
      <c r="D142" s="114">
        <v>11.78</v>
      </c>
      <c r="E142">
        <v>29</v>
      </c>
      <c r="K142" s="2"/>
      <c r="L142" s="112">
        <v>45168</v>
      </c>
      <c r="N142" s="15">
        <f t="shared" si="10"/>
        <v>45188</v>
      </c>
      <c r="O142" s="112">
        <v>45188</v>
      </c>
      <c r="P142" s="10">
        <f t="shared" si="11"/>
        <v>-20</v>
      </c>
      <c r="Q142" s="10">
        <f t="shared" si="12"/>
        <v>0</v>
      </c>
      <c r="R142" s="10">
        <f t="shared" si="13"/>
        <v>-20</v>
      </c>
      <c r="S142" s="10">
        <f t="shared" si="14"/>
        <v>-50</v>
      </c>
    </row>
    <row r="143" spans="1:19" ht="12.75" x14ac:dyDescent="0.2">
      <c r="A143" s="111" t="s">
        <v>364</v>
      </c>
      <c r="B143" s="112">
        <v>45168</v>
      </c>
      <c r="C143" s="111" t="s">
        <v>365</v>
      </c>
      <c r="D143" s="114">
        <v>31.49</v>
      </c>
      <c r="E143">
        <v>29</v>
      </c>
      <c r="K143" s="2"/>
      <c r="L143" s="112">
        <v>45168</v>
      </c>
      <c r="N143" s="15">
        <f t="shared" si="10"/>
        <v>45188</v>
      </c>
      <c r="O143" s="112">
        <v>45188</v>
      </c>
      <c r="P143" s="10">
        <f t="shared" si="11"/>
        <v>-20</v>
      </c>
      <c r="Q143" s="10">
        <f t="shared" si="12"/>
        <v>0</v>
      </c>
      <c r="R143" s="10">
        <f t="shared" si="13"/>
        <v>-20</v>
      </c>
      <c r="S143" s="10">
        <f t="shared" si="14"/>
        <v>-50</v>
      </c>
    </row>
    <row r="144" spans="1:19" ht="12.75" x14ac:dyDescent="0.2">
      <c r="A144" s="111" t="s">
        <v>366</v>
      </c>
      <c r="B144" s="112">
        <v>45168</v>
      </c>
      <c r="C144" s="111" t="s">
        <v>367</v>
      </c>
      <c r="D144" s="114">
        <v>17.64</v>
      </c>
      <c r="E144">
        <v>29</v>
      </c>
      <c r="K144" s="2"/>
      <c r="L144" s="112">
        <v>45168</v>
      </c>
      <c r="N144" s="15">
        <f t="shared" si="10"/>
        <v>45188</v>
      </c>
      <c r="O144" s="112">
        <v>45188</v>
      </c>
      <c r="P144" s="10">
        <f t="shared" si="11"/>
        <v>-20</v>
      </c>
      <c r="Q144" s="10">
        <f t="shared" si="12"/>
        <v>0</v>
      </c>
      <c r="R144" s="10">
        <f t="shared" si="13"/>
        <v>-20</v>
      </c>
      <c r="S144" s="10">
        <f t="shared" si="14"/>
        <v>-50</v>
      </c>
    </row>
    <row r="145" spans="1:19" ht="12.75" x14ac:dyDescent="0.2">
      <c r="A145" s="111" t="s">
        <v>368</v>
      </c>
      <c r="B145" s="112">
        <v>45168</v>
      </c>
      <c r="C145" s="111" t="s">
        <v>369</v>
      </c>
      <c r="D145" s="114">
        <v>25.9</v>
      </c>
      <c r="E145">
        <v>29</v>
      </c>
      <c r="K145" s="2"/>
      <c r="L145" s="112">
        <v>45168</v>
      </c>
      <c r="N145" s="15">
        <f t="shared" si="10"/>
        <v>45188</v>
      </c>
      <c r="O145" s="112">
        <v>45188</v>
      </c>
      <c r="P145" s="10">
        <f t="shared" si="11"/>
        <v>-20</v>
      </c>
      <c r="Q145" s="10">
        <f t="shared" si="12"/>
        <v>0</v>
      </c>
      <c r="R145" s="10">
        <f t="shared" si="13"/>
        <v>-20</v>
      </c>
      <c r="S145" s="10">
        <f t="shared" si="14"/>
        <v>-50</v>
      </c>
    </row>
    <row r="146" spans="1:19" ht="12.75" x14ac:dyDescent="0.2">
      <c r="A146" s="111" t="s">
        <v>370</v>
      </c>
      <c r="B146" s="112">
        <v>45168</v>
      </c>
      <c r="C146" s="111" t="s">
        <v>371</v>
      </c>
      <c r="D146" s="114">
        <v>15.89</v>
      </c>
      <c r="E146">
        <v>29</v>
      </c>
      <c r="K146" s="2"/>
      <c r="L146" s="112">
        <v>45168</v>
      </c>
      <c r="N146" s="15">
        <f t="shared" si="10"/>
        <v>45188</v>
      </c>
      <c r="O146" s="112">
        <v>45188</v>
      </c>
      <c r="P146" s="10">
        <f t="shared" si="11"/>
        <v>-20</v>
      </c>
      <c r="Q146" s="10">
        <f t="shared" si="12"/>
        <v>0</v>
      </c>
      <c r="R146" s="10">
        <f t="shared" si="13"/>
        <v>-20</v>
      </c>
      <c r="S146" s="10">
        <f t="shared" si="14"/>
        <v>-50</v>
      </c>
    </row>
    <row r="147" spans="1:19" ht="12.75" x14ac:dyDescent="0.2">
      <c r="A147" s="111" t="s">
        <v>372</v>
      </c>
      <c r="B147" s="112">
        <v>45168</v>
      </c>
      <c r="C147" s="111" t="s">
        <v>373</v>
      </c>
      <c r="D147" s="114">
        <v>12.89</v>
      </c>
      <c r="E147">
        <v>29</v>
      </c>
      <c r="K147" s="2"/>
      <c r="L147" s="112">
        <v>45168</v>
      </c>
      <c r="N147" s="15">
        <f t="shared" si="10"/>
        <v>45188</v>
      </c>
      <c r="O147" s="112">
        <v>45188</v>
      </c>
      <c r="P147" s="10">
        <f t="shared" si="11"/>
        <v>-20</v>
      </c>
      <c r="Q147" s="10">
        <f t="shared" si="12"/>
        <v>0</v>
      </c>
      <c r="R147" s="10">
        <f t="shared" si="13"/>
        <v>-20</v>
      </c>
      <c r="S147" s="10">
        <f t="shared" si="14"/>
        <v>-50</v>
      </c>
    </row>
    <row r="148" spans="1:19" ht="12.75" x14ac:dyDescent="0.2">
      <c r="A148" s="111" t="s">
        <v>374</v>
      </c>
      <c r="B148" s="112">
        <v>45168</v>
      </c>
      <c r="C148" s="111" t="s">
        <v>375</v>
      </c>
      <c r="D148" s="114">
        <v>27.62</v>
      </c>
      <c r="E148">
        <v>29</v>
      </c>
      <c r="K148" s="2"/>
      <c r="L148" s="112">
        <v>45168</v>
      </c>
      <c r="N148" s="15">
        <f t="shared" si="10"/>
        <v>45188</v>
      </c>
      <c r="O148" s="112">
        <v>45188</v>
      </c>
      <c r="P148" s="10">
        <f t="shared" si="11"/>
        <v>-20</v>
      </c>
      <c r="Q148" s="10">
        <f t="shared" si="12"/>
        <v>0</v>
      </c>
      <c r="R148" s="10">
        <f t="shared" si="13"/>
        <v>-20</v>
      </c>
      <c r="S148" s="10">
        <f t="shared" si="14"/>
        <v>-50</v>
      </c>
    </row>
    <row r="149" spans="1:19" ht="12.75" x14ac:dyDescent="0.2">
      <c r="A149" s="111" t="s">
        <v>376</v>
      </c>
      <c r="B149" s="112">
        <v>45168</v>
      </c>
      <c r="C149" s="111" t="s">
        <v>377</v>
      </c>
      <c r="D149" s="114">
        <v>9.68</v>
      </c>
      <c r="E149">
        <v>29</v>
      </c>
      <c r="K149" s="2"/>
      <c r="L149" s="112">
        <v>45168</v>
      </c>
      <c r="N149" s="15">
        <f t="shared" si="10"/>
        <v>45188</v>
      </c>
      <c r="O149" s="112">
        <v>45188</v>
      </c>
      <c r="P149" s="10">
        <f t="shared" si="11"/>
        <v>-20</v>
      </c>
      <c r="Q149" s="10">
        <f t="shared" si="12"/>
        <v>0</v>
      </c>
      <c r="R149" s="10">
        <f t="shared" si="13"/>
        <v>-20</v>
      </c>
      <c r="S149" s="10">
        <f t="shared" si="14"/>
        <v>-50</v>
      </c>
    </row>
    <row r="150" spans="1:19" ht="12.75" x14ac:dyDescent="0.2">
      <c r="A150" s="111" t="s">
        <v>378</v>
      </c>
      <c r="B150" s="112">
        <v>45168</v>
      </c>
      <c r="C150" s="111" t="s">
        <v>379</v>
      </c>
      <c r="D150" s="114">
        <v>1352.03</v>
      </c>
      <c r="E150">
        <v>29</v>
      </c>
      <c r="K150" s="2"/>
      <c r="L150" s="112">
        <v>45168</v>
      </c>
      <c r="N150" s="15">
        <f t="shared" si="10"/>
        <v>45188</v>
      </c>
      <c r="O150" s="112">
        <v>45188</v>
      </c>
      <c r="P150" s="10">
        <f t="shared" si="11"/>
        <v>-20</v>
      </c>
      <c r="Q150" s="10">
        <f t="shared" si="12"/>
        <v>0</v>
      </c>
      <c r="R150" s="10">
        <f t="shared" si="13"/>
        <v>-20</v>
      </c>
      <c r="S150" s="10">
        <f t="shared" si="14"/>
        <v>-50</v>
      </c>
    </row>
    <row r="151" spans="1:19" ht="12.75" x14ac:dyDescent="0.2">
      <c r="A151" s="111" t="s">
        <v>380</v>
      </c>
      <c r="B151" s="112">
        <v>45168</v>
      </c>
      <c r="C151" s="111" t="s">
        <v>381</v>
      </c>
      <c r="D151" s="114">
        <v>499.75</v>
      </c>
      <c r="E151">
        <v>29</v>
      </c>
      <c r="K151" s="2"/>
      <c r="L151" s="112">
        <v>45168</v>
      </c>
      <c r="N151" s="15">
        <f t="shared" si="10"/>
        <v>45188</v>
      </c>
      <c r="O151" s="112">
        <v>45188</v>
      </c>
      <c r="P151" s="10">
        <f t="shared" si="11"/>
        <v>-20</v>
      </c>
      <c r="Q151" s="10">
        <f t="shared" si="12"/>
        <v>0</v>
      </c>
      <c r="R151" s="10">
        <f t="shared" si="13"/>
        <v>-20</v>
      </c>
      <c r="S151" s="10">
        <f t="shared" si="14"/>
        <v>-50</v>
      </c>
    </row>
    <row r="152" spans="1:19" ht="12.75" x14ac:dyDescent="0.2">
      <c r="A152" s="111" t="s">
        <v>382</v>
      </c>
      <c r="B152" s="112">
        <v>45168</v>
      </c>
      <c r="C152" s="111" t="s">
        <v>383</v>
      </c>
      <c r="D152" s="114">
        <v>339.14</v>
      </c>
      <c r="E152">
        <v>29</v>
      </c>
      <c r="K152" s="2"/>
      <c r="L152" s="112">
        <v>45168</v>
      </c>
      <c r="N152" s="15">
        <f t="shared" si="10"/>
        <v>45188</v>
      </c>
      <c r="O152" s="112">
        <v>45188</v>
      </c>
      <c r="P152" s="10">
        <f t="shared" si="11"/>
        <v>-20</v>
      </c>
      <c r="Q152" s="10">
        <f t="shared" si="12"/>
        <v>0</v>
      </c>
      <c r="R152" s="10">
        <f t="shared" si="13"/>
        <v>-20</v>
      </c>
      <c r="S152" s="10">
        <f t="shared" si="14"/>
        <v>-50</v>
      </c>
    </row>
    <row r="153" spans="1:19" ht="12.75" x14ac:dyDescent="0.2">
      <c r="A153" s="111" t="s">
        <v>384</v>
      </c>
      <c r="B153" s="112">
        <v>45168</v>
      </c>
      <c r="C153" s="111" t="s">
        <v>385</v>
      </c>
      <c r="D153" s="114">
        <v>368.24</v>
      </c>
      <c r="E153">
        <v>29</v>
      </c>
      <c r="K153" s="2"/>
      <c r="L153" s="112">
        <v>45168</v>
      </c>
      <c r="N153" s="15">
        <f t="shared" si="10"/>
        <v>45188</v>
      </c>
      <c r="O153" s="112">
        <v>45188</v>
      </c>
      <c r="P153" s="10">
        <f t="shared" si="11"/>
        <v>-20</v>
      </c>
      <c r="Q153" s="10">
        <f t="shared" si="12"/>
        <v>0</v>
      </c>
      <c r="R153" s="10">
        <f t="shared" si="13"/>
        <v>-20</v>
      </c>
      <c r="S153" s="10">
        <f t="shared" si="14"/>
        <v>-50</v>
      </c>
    </row>
    <row r="154" spans="1:19" ht="12.75" x14ac:dyDescent="0.2">
      <c r="A154" s="111" t="s">
        <v>386</v>
      </c>
      <c r="B154" s="112">
        <v>45168</v>
      </c>
      <c r="C154" s="111" t="s">
        <v>387</v>
      </c>
      <c r="D154" s="114">
        <v>235.76</v>
      </c>
      <c r="E154">
        <v>29</v>
      </c>
      <c r="K154" s="2"/>
      <c r="L154" s="112">
        <v>45168</v>
      </c>
      <c r="N154" s="15">
        <f t="shared" si="10"/>
        <v>45188</v>
      </c>
      <c r="O154" s="112">
        <v>45188</v>
      </c>
      <c r="P154" s="10">
        <f t="shared" si="11"/>
        <v>-20</v>
      </c>
      <c r="Q154" s="10">
        <f t="shared" si="12"/>
        <v>0</v>
      </c>
      <c r="R154" s="10">
        <f t="shared" si="13"/>
        <v>-20</v>
      </c>
      <c r="S154" s="10">
        <f t="shared" si="14"/>
        <v>-50</v>
      </c>
    </row>
    <row r="155" spans="1:19" ht="12.75" x14ac:dyDescent="0.2">
      <c r="A155" s="111" t="s">
        <v>388</v>
      </c>
      <c r="B155" s="112">
        <v>45176</v>
      </c>
      <c r="C155" s="111" t="s">
        <v>389</v>
      </c>
      <c r="D155" s="114">
        <v>1400</v>
      </c>
      <c r="E155">
        <v>29</v>
      </c>
      <c r="K155" s="2"/>
      <c r="L155" s="112">
        <v>45176</v>
      </c>
      <c r="N155" s="15">
        <f t="shared" si="10"/>
        <v>45184</v>
      </c>
      <c r="O155" s="112">
        <v>45184</v>
      </c>
      <c r="P155" s="10">
        <f t="shared" si="11"/>
        <v>-8</v>
      </c>
      <c r="Q155" s="10">
        <f t="shared" si="12"/>
        <v>0</v>
      </c>
      <c r="R155" s="10">
        <f t="shared" si="13"/>
        <v>-8</v>
      </c>
      <c r="S155" s="10">
        <f t="shared" si="14"/>
        <v>-38</v>
      </c>
    </row>
    <row r="156" spans="1:19" ht="12.75" x14ac:dyDescent="0.2">
      <c r="A156" s="111" t="s">
        <v>390</v>
      </c>
      <c r="B156" s="112">
        <v>45128</v>
      </c>
      <c r="C156" s="111" t="s">
        <v>391</v>
      </c>
      <c r="D156" s="114">
        <v>50</v>
      </c>
      <c r="E156">
        <v>29</v>
      </c>
      <c r="K156" s="2"/>
      <c r="L156" s="112">
        <v>45128</v>
      </c>
      <c r="N156" s="15">
        <f t="shared" si="10"/>
        <v>45128</v>
      </c>
      <c r="O156" s="112">
        <v>45128</v>
      </c>
      <c r="P156" s="10">
        <f t="shared" si="11"/>
        <v>0</v>
      </c>
      <c r="Q156" s="10">
        <f t="shared" si="12"/>
        <v>0</v>
      </c>
      <c r="R156" s="10">
        <f t="shared" si="13"/>
        <v>0</v>
      </c>
      <c r="S156" s="10">
        <f t="shared" si="14"/>
        <v>-30</v>
      </c>
    </row>
    <row r="157" spans="1:19" ht="12.75" x14ac:dyDescent="0.2">
      <c r="A157" s="111" t="s">
        <v>392</v>
      </c>
      <c r="B157" s="112">
        <v>45151</v>
      </c>
      <c r="C157" s="111" t="s">
        <v>393</v>
      </c>
      <c r="D157" s="114">
        <v>24.74</v>
      </c>
      <c r="E157">
        <v>29</v>
      </c>
      <c r="K157" s="2"/>
      <c r="L157" s="112">
        <v>45151</v>
      </c>
      <c r="N157" s="15">
        <f t="shared" si="10"/>
        <v>45156</v>
      </c>
      <c r="O157" s="112">
        <v>45156</v>
      </c>
      <c r="P157" s="10">
        <f t="shared" si="11"/>
        <v>-5</v>
      </c>
      <c r="Q157" s="10">
        <f t="shared" si="12"/>
        <v>0</v>
      </c>
      <c r="R157" s="10">
        <f t="shared" si="13"/>
        <v>-5</v>
      </c>
      <c r="S157" s="10">
        <f t="shared" si="14"/>
        <v>-35</v>
      </c>
    </row>
    <row r="158" spans="1:19" ht="12.75" x14ac:dyDescent="0.2">
      <c r="A158" s="111" t="s">
        <v>394</v>
      </c>
      <c r="B158" s="112">
        <v>45156</v>
      </c>
      <c r="C158" s="111" t="s">
        <v>395</v>
      </c>
      <c r="D158" s="114">
        <v>24.71</v>
      </c>
      <c r="E158">
        <v>29</v>
      </c>
      <c r="K158" s="2"/>
      <c r="L158" s="112">
        <v>45156</v>
      </c>
      <c r="N158" s="15">
        <f t="shared" si="10"/>
        <v>45161</v>
      </c>
      <c r="O158" s="112">
        <v>45161</v>
      </c>
      <c r="P158" s="10">
        <f t="shared" si="11"/>
        <v>-5</v>
      </c>
      <c r="Q158" s="10">
        <f t="shared" si="12"/>
        <v>0</v>
      </c>
      <c r="R158" s="10">
        <f t="shared" si="13"/>
        <v>-5</v>
      </c>
      <c r="S158" s="10">
        <f t="shared" si="14"/>
        <v>-35</v>
      </c>
    </row>
    <row r="159" spans="1:19" ht="12.75" x14ac:dyDescent="0.2">
      <c r="A159" s="111" t="s">
        <v>396</v>
      </c>
      <c r="B159" s="112">
        <v>45161</v>
      </c>
      <c r="C159" s="111" t="s">
        <v>397</v>
      </c>
      <c r="D159" s="114">
        <v>25.79</v>
      </c>
      <c r="E159">
        <v>29</v>
      </c>
      <c r="K159" s="2"/>
      <c r="L159" s="112">
        <v>45161</v>
      </c>
      <c r="N159" s="15">
        <f t="shared" si="10"/>
        <v>45166</v>
      </c>
      <c r="O159" s="112">
        <v>45166</v>
      </c>
      <c r="P159" s="10">
        <f t="shared" si="11"/>
        <v>-5</v>
      </c>
      <c r="Q159" s="10">
        <f t="shared" si="12"/>
        <v>0</v>
      </c>
      <c r="R159" s="10">
        <f t="shared" si="13"/>
        <v>-5</v>
      </c>
      <c r="S159" s="10">
        <f t="shared" si="14"/>
        <v>-35</v>
      </c>
    </row>
    <row r="160" spans="1:19" ht="12.75" x14ac:dyDescent="0.2">
      <c r="A160" s="111" t="s">
        <v>398</v>
      </c>
      <c r="B160" s="112">
        <v>45166</v>
      </c>
      <c r="C160" s="111" t="s">
        <v>399</v>
      </c>
      <c r="D160" s="114">
        <v>25.69</v>
      </c>
      <c r="E160">
        <v>29</v>
      </c>
      <c r="K160" s="2"/>
      <c r="L160" s="112">
        <v>45166</v>
      </c>
      <c r="N160" s="15">
        <f t="shared" si="10"/>
        <v>45169</v>
      </c>
      <c r="O160" s="112">
        <v>45169</v>
      </c>
      <c r="P160" s="10">
        <f t="shared" si="11"/>
        <v>-3</v>
      </c>
      <c r="Q160" s="10">
        <f t="shared" si="12"/>
        <v>0</v>
      </c>
      <c r="R160" s="10">
        <f t="shared" si="13"/>
        <v>-3</v>
      </c>
      <c r="S160" s="10">
        <f t="shared" si="14"/>
        <v>-33</v>
      </c>
    </row>
    <row r="161" spans="1:19" ht="12.75" x14ac:dyDescent="0.2">
      <c r="A161" s="111" t="s">
        <v>400</v>
      </c>
      <c r="B161" s="112">
        <v>45172</v>
      </c>
      <c r="C161" s="111" t="s">
        <v>401</v>
      </c>
      <c r="D161" s="114">
        <v>2.91</v>
      </c>
      <c r="E161">
        <v>29</v>
      </c>
      <c r="K161" s="2"/>
      <c r="L161" s="112">
        <v>45172</v>
      </c>
      <c r="N161" s="15">
        <f t="shared" si="10"/>
        <v>45175</v>
      </c>
      <c r="O161" s="112">
        <v>45175</v>
      </c>
      <c r="P161" s="10">
        <f t="shared" si="11"/>
        <v>-3</v>
      </c>
      <c r="Q161" s="10">
        <f t="shared" si="12"/>
        <v>0</v>
      </c>
      <c r="R161" s="10">
        <f t="shared" si="13"/>
        <v>-3</v>
      </c>
      <c r="S161" s="10">
        <f t="shared" si="14"/>
        <v>-33</v>
      </c>
    </row>
    <row r="162" spans="1:19" ht="12.75" x14ac:dyDescent="0.2">
      <c r="A162" s="111" t="s">
        <v>402</v>
      </c>
      <c r="B162" s="112">
        <v>45113</v>
      </c>
      <c r="C162" s="111" t="s">
        <v>403</v>
      </c>
      <c r="D162" s="114">
        <v>27.64</v>
      </c>
      <c r="E162">
        <v>29</v>
      </c>
      <c r="K162" s="2"/>
      <c r="L162" s="112">
        <v>45113</v>
      </c>
      <c r="N162" s="15">
        <f t="shared" si="10"/>
        <v>45147</v>
      </c>
      <c r="O162" s="112">
        <v>45147</v>
      </c>
      <c r="P162" s="10">
        <f t="shared" si="11"/>
        <v>-34</v>
      </c>
      <c r="Q162" s="10">
        <f t="shared" si="12"/>
        <v>0</v>
      </c>
      <c r="R162" s="10">
        <f t="shared" si="13"/>
        <v>-34</v>
      </c>
      <c r="S162" s="10">
        <f t="shared" si="14"/>
        <v>-64</v>
      </c>
    </row>
    <row r="163" spans="1:19" ht="12.75" x14ac:dyDescent="0.2">
      <c r="A163" s="111" t="s">
        <v>404</v>
      </c>
      <c r="B163" s="112">
        <v>45118</v>
      </c>
      <c r="C163" s="111" t="s">
        <v>405</v>
      </c>
      <c r="D163" s="114">
        <v>25.9</v>
      </c>
      <c r="E163">
        <v>29</v>
      </c>
      <c r="K163" s="2"/>
      <c r="L163" s="112">
        <v>45118</v>
      </c>
      <c r="N163" s="15">
        <f t="shared" si="10"/>
        <v>45147</v>
      </c>
      <c r="O163" s="112">
        <v>45147</v>
      </c>
      <c r="P163" s="10">
        <f t="shared" si="11"/>
        <v>-29</v>
      </c>
      <c r="Q163" s="10">
        <f t="shared" si="12"/>
        <v>0</v>
      </c>
      <c r="R163" s="10">
        <f t="shared" si="13"/>
        <v>-29</v>
      </c>
      <c r="S163" s="10">
        <f t="shared" si="14"/>
        <v>-59</v>
      </c>
    </row>
    <row r="164" spans="1:19" ht="12.75" x14ac:dyDescent="0.2">
      <c r="A164" s="111" t="s">
        <v>406</v>
      </c>
      <c r="B164" s="112">
        <v>45146</v>
      </c>
      <c r="C164" s="111" t="s">
        <v>407</v>
      </c>
      <c r="D164" s="114">
        <v>25.49</v>
      </c>
      <c r="E164">
        <v>29</v>
      </c>
      <c r="K164" s="2"/>
      <c r="L164" s="112">
        <v>45146</v>
      </c>
      <c r="N164" s="15">
        <f t="shared" si="10"/>
        <v>45152</v>
      </c>
      <c r="O164" s="112">
        <v>45152</v>
      </c>
      <c r="P164" s="10">
        <f t="shared" si="11"/>
        <v>-6</v>
      </c>
      <c r="Q164" s="10">
        <f t="shared" si="12"/>
        <v>0</v>
      </c>
      <c r="R164" s="10">
        <f t="shared" si="13"/>
        <v>-6</v>
      </c>
      <c r="S164" s="10">
        <f t="shared" si="14"/>
        <v>-36</v>
      </c>
    </row>
    <row r="165" spans="1:19" ht="12.75" x14ac:dyDescent="0.2">
      <c r="A165" s="111" t="s">
        <v>408</v>
      </c>
      <c r="B165" s="112">
        <v>45141</v>
      </c>
      <c r="C165" s="111" t="s">
        <v>409</v>
      </c>
      <c r="D165" s="114">
        <v>25.56</v>
      </c>
      <c r="E165">
        <v>29</v>
      </c>
      <c r="K165" s="2"/>
      <c r="L165" s="112">
        <v>45141</v>
      </c>
      <c r="N165" s="15">
        <f t="shared" si="10"/>
        <v>45147</v>
      </c>
      <c r="O165" s="112">
        <v>45147</v>
      </c>
      <c r="P165" s="10">
        <f t="shared" si="11"/>
        <v>-6</v>
      </c>
      <c r="Q165" s="10">
        <f t="shared" si="12"/>
        <v>0</v>
      </c>
      <c r="R165" s="10">
        <f t="shared" si="13"/>
        <v>-6</v>
      </c>
      <c r="S165" s="10">
        <f t="shared" si="14"/>
        <v>-36</v>
      </c>
    </row>
    <row r="166" spans="1:19" ht="12.75" x14ac:dyDescent="0.2">
      <c r="A166" s="111" t="s">
        <v>410</v>
      </c>
      <c r="B166" s="112">
        <v>45174</v>
      </c>
      <c r="C166" s="111" t="s">
        <v>411</v>
      </c>
      <c r="D166" s="114">
        <v>76.53</v>
      </c>
      <c r="E166">
        <v>29</v>
      </c>
      <c r="K166" s="2"/>
      <c r="L166" s="112">
        <v>45174</v>
      </c>
      <c r="N166" s="15">
        <f t="shared" si="10"/>
        <v>45184</v>
      </c>
      <c r="O166" s="112">
        <v>45184</v>
      </c>
      <c r="P166" s="10">
        <f t="shared" si="11"/>
        <v>-10</v>
      </c>
      <c r="Q166" s="10">
        <f t="shared" si="12"/>
        <v>0</v>
      </c>
      <c r="R166" s="10">
        <f t="shared" si="13"/>
        <v>-10</v>
      </c>
      <c r="S166" s="10">
        <f t="shared" si="14"/>
        <v>-40</v>
      </c>
    </row>
    <row r="167" spans="1:19" ht="12.75" x14ac:dyDescent="0.2">
      <c r="A167" s="111" t="s">
        <v>412</v>
      </c>
      <c r="B167" s="112">
        <v>45180</v>
      </c>
      <c r="C167" s="111" t="s">
        <v>413</v>
      </c>
      <c r="D167" s="114">
        <v>8470</v>
      </c>
      <c r="E167">
        <v>29</v>
      </c>
      <c r="K167" s="2"/>
      <c r="L167" s="112">
        <v>45180</v>
      </c>
      <c r="N167" s="15">
        <f t="shared" si="10"/>
        <v>45184</v>
      </c>
      <c r="O167" s="112">
        <v>45184</v>
      </c>
      <c r="P167" s="10">
        <f t="shared" si="11"/>
        <v>-4</v>
      </c>
      <c r="Q167" s="10">
        <f t="shared" si="12"/>
        <v>0</v>
      </c>
      <c r="R167" s="10">
        <f t="shared" si="13"/>
        <v>-4</v>
      </c>
      <c r="S167" s="10">
        <f t="shared" si="14"/>
        <v>-34</v>
      </c>
    </row>
    <row r="168" spans="1:19" ht="12.75" x14ac:dyDescent="0.2">
      <c r="A168" s="111" t="s">
        <v>414</v>
      </c>
      <c r="B168" s="112">
        <v>45177</v>
      </c>
      <c r="C168" s="111" t="s">
        <v>415</v>
      </c>
      <c r="D168" s="114">
        <v>2250</v>
      </c>
      <c r="E168">
        <v>29</v>
      </c>
      <c r="K168" s="2"/>
      <c r="L168" s="112">
        <v>45177</v>
      </c>
      <c r="N168" s="15">
        <f t="shared" si="10"/>
        <v>45181</v>
      </c>
      <c r="O168" s="112">
        <v>45181</v>
      </c>
      <c r="P168" s="10">
        <f t="shared" si="11"/>
        <v>-4</v>
      </c>
      <c r="Q168" s="10">
        <f t="shared" si="12"/>
        <v>0</v>
      </c>
      <c r="R168" s="10">
        <f t="shared" si="13"/>
        <v>-4</v>
      </c>
      <c r="S168" s="10">
        <f t="shared" si="14"/>
        <v>-34</v>
      </c>
    </row>
    <row r="169" spans="1:19" ht="12.75" x14ac:dyDescent="0.2">
      <c r="A169" s="111" t="s">
        <v>416</v>
      </c>
      <c r="B169" s="112">
        <v>45177</v>
      </c>
      <c r="C169" s="111" t="s">
        <v>417</v>
      </c>
      <c r="D169" s="114">
        <v>2250</v>
      </c>
      <c r="E169">
        <v>29</v>
      </c>
      <c r="K169" s="2"/>
      <c r="L169" s="112">
        <v>45177</v>
      </c>
      <c r="N169" s="15">
        <f t="shared" si="10"/>
        <v>45181</v>
      </c>
      <c r="O169" s="112">
        <v>45181</v>
      </c>
      <c r="P169" s="10">
        <f t="shared" si="11"/>
        <v>-4</v>
      </c>
      <c r="Q169" s="10">
        <f t="shared" si="12"/>
        <v>0</v>
      </c>
      <c r="R169" s="10">
        <f t="shared" si="13"/>
        <v>-4</v>
      </c>
      <c r="S169" s="10">
        <f t="shared" si="14"/>
        <v>-34</v>
      </c>
    </row>
    <row r="170" spans="1:19" ht="12.75" x14ac:dyDescent="0.2">
      <c r="A170" s="111" t="s">
        <v>418</v>
      </c>
      <c r="B170" s="112">
        <v>45177</v>
      </c>
      <c r="C170" s="111" t="s">
        <v>419</v>
      </c>
      <c r="D170" s="114">
        <v>2250</v>
      </c>
      <c r="E170">
        <v>29</v>
      </c>
      <c r="K170" s="2"/>
      <c r="L170" s="112">
        <v>45177</v>
      </c>
      <c r="N170" s="15">
        <f t="shared" si="10"/>
        <v>45181</v>
      </c>
      <c r="O170" s="112">
        <v>45181</v>
      </c>
      <c r="P170" s="10">
        <f t="shared" si="11"/>
        <v>-4</v>
      </c>
      <c r="Q170" s="10">
        <f t="shared" si="12"/>
        <v>0</v>
      </c>
      <c r="R170" s="10">
        <f t="shared" si="13"/>
        <v>-4</v>
      </c>
      <c r="S170" s="10">
        <f t="shared" si="14"/>
        <v>-34</v>
      </c>
    </row>
    <row r="171" spans="1:19" ht="12.75" x14ac:dyDescent="0.2">
      <c r="A171" s="111" t="s">
        <v>420</v>
      </c>
      <c r="B171" s="112">
        <v>45177</v>
      </c>
      <c r="C171" s="111" t="s">
        <v>421</v>
      </c>
      <c r="D171" s="114">
        <v>2250</v>
      </c>
      <c r="E171">
        <v>29</v>
      </c>
      <c r="K171" s="2"/>
      <c r="L171" s="112">
        <v>45177</v>
      </c>
      <c r="N171" s="15">
        <f t="shared" si="10"/>
        <v>45181</v>
      </c>
      <c r="O171" s="112">
        <v>45181</v>
      </c>
      <c r="P171" s="10">
        <f t="shared" si="11"/>
        <v>-4</v>
      </c>
      <c r="Q171" s="10">
        <f t="shared" si="12"/>
        <v>0</v>
      </c>
      <c r="R171" s="10">
        <f t="shared" si="13"/>
        <v>-4</v>
      </c>
      <c r="S171" s="10">
        <f t="shared" si="14"/>
        <v>-34</v>
      </c>
    </row>
    <row r="172" spans="1:19" ht="12.75" x14ac:dyDescent="0.2">
      <c r="A172" s="111" t="s">
        <v>422</v>
      </c>
      <c r="B172" s="112">
        <v>45177</v>
      </c>
      <c r="C172" s="111" t="s">
        <v>423</v>
      </c>
      <c r="D172" s="114">
        <v>2250</v>
      </c>
      <c r="E172">
        <v>29</v>
      </c>
      <c r="K172" s="2"/>
      <c r="L172" s="112">
        <v>45177</v>
      </c>
      <c r="N172" s="15">
        <f t="shared" si="10"/>
        <v>45181</v>
      </c>
      <c r="O172" s="112">
        <v>45181</v>
      </c>
      <c r="P172" s="10">
        <f t="shared" si="11"/>
        <v>-4</v>
      </c>
      <c r="Q172" s="10">
        <f t="shared" si="12"/>
        <v>0</v>
      </c>
      <c r="R172" s="10">
        <f t="shared" si="13"/>
        <v>-4</v>
      </c>
      <c r="S172" s="10">
        <f t="shared" si="14"/>
        <v>-34</v>
      </c>
    </row>
    <row r="173" spans="1:19" ht="12.75" x14ac:dyDescent="0.2">
      <c r="A173" s="111" t="s">
        <v>424</v>
      </c>
      <c r="B173" s="112">
        <v>45177</v>
      </c>
      <c r="C173" s="111" t="s">
        <v>425</v>
      </c>
      <c r="D173" s="114">
        <v>2250</v>
      </c>
      <c r="E173">
        <v>29</v>
      </c>
      <c r="K173" s="2"/>
      <c r="L173" s="112">
        <v>45177</v>
      </c>
      <c r="N173" s="15">
        <f t="shared" si="10"/>
        <v>45181</v>
      </c>
      <c r="O173" s="112">
        <v>45181</v>
      </c>
      <c r="P173" s="10">
        <f t="shared" si="11"/>
        <v>-4</v>
      </c>
      <c r="Q173" s="10">
        <f t="shared" si="12"/>
        <v>0</v>
      </c>
      <c r="R173" s="10">
        <f t="shared" si="13"/>
        <v>-4</v>
      </c>
      <c r="S173" s="10">
        <f t="shared" si="14"/>
        <v>-34</v>
      </c>
    </row>
    <row r="174" spans="1:19" ht="12.75" x14ac:dyDescent="0.2">
      <c r="A174" s="111" t="s">
        <v>426</v>
      </c>
      <c r="B174" s="112">
        <v>45177</v>
      </c>
      <c r="C174" s="111" t="s">
        <v>427</v>
      </c>
      <c r="D174" s="114">
        <v>2250</v>
      </c>
      <c r="E174">
        <v>29</v>
      </c>
      <c r="K174" s="2"/>
      <c r="L174" s="112">
        <v>45177</v>
      </c>
      <c r="N174" s="15">
        <f t="shared" si="10"/>
        <v>45181</v>
      </c>
      <c r="O174" s="112">
        <v>45181</v>
      </c>
      <c r="P174" s="10">
        <f t="shared" si="11"/>
        <v>-4</v>
      </c>
      <c r="Q174" s="10">
        <f t="shared" si="12"/>
        <v>0</v>
      </c>
      <c r="R174" s="10">
        <f t="shared" si="13"/>
        <v>-4</v>
      </c>
      <c r="S174" s="10">
        <f t="shared" si="14"/>
        <v>-34</v>
      </c>
    </row>
    <row r="175" spans="1:19" ht="12.75" x14ac:dyDescent="0.2">
      <c r="A175" s="111" t="s">
        <v>428</v>
      </c>
      <c r="B175" s="112">
        <v>45177</v>
      </c>
      <c r="C175" s="111" t="s">
        <v>429</v>
      </c>
      <c r="D175" s="114">
        <v>2250</v>
      </c>
      <c r="E175">
        <v>29</v>
      </c>
      <c r="K175" s="2"/>
      <c r="L175" s="112">
        <v>45177</v>
      </c>
      <c r="N175" s="15">
        <f t="shared" si="10"/>
        <v>45181</v>
      </c>
      <c r="O175" s="112">
        <v>45181</v>
      </c>
      <c r="P175" s="10">
        <f t="shared" si="11"/>
        <v>-4</v>
      </c>
      <c r="Q175" s="10">
        <f t="shared" si="12"/>
        <v>0</v>
      </c>
      <c r="R175" s="10">
        <f t="shared" si="13"/>
        <v>-4</v>
      </c>
      <c r="S175" s="10">
        <f t="shared" si="14"/>
        <v>-34</v>
      </c>
    </row>
    <row r="176" spans="1:19" ht="12.75" x14ac:dyDescent="0.2">
      <c r="A176" s="111" t="s">
        <v>430</v>
      </c>
      <c r="B176" s="112">
        <v>45177</v>
      </c>
      <c r="C176" s="111" t="s">
        <v>359</v>
      </c>
      <c r="D176" s="114">
        <v>2250</v>
      </c>
      <c r="E176">
        <v>29</v>
      </c>
      <c r="K176" s="2"/>
      <c r="L176" s="112">
        <v>45177</v>
      </c>
      <c r="N176" s="15">
        <f t="shared" si="10"/>
        <v>45181</v>
      </c>
      <c r="O176" s="112">
        <v>45181</v>
      </c>
      <c r="P176" s="10">
        <f t="shared" si="11"/>
        <v>-4</v>
      </c>
      <c r="Q176" s="10">
        <f t="shared" si="12"/>
        <v>0</v>
      </c>
      <c r="R176" s="10">
        <f t="shared" si="13"/>
        <v>-4</v>
      </c>
      <c r="S176" s="10">
        <f t="shared" si="14"/>
        <v>-34</v>
      </c>
    </row>
    <row r="177" spans="1:19" ht="12.75" x14ac:dyDescent="0.2">
      <c r="A177" s="111" t="s">
        <v>431</v>
      </c>
      <c r="B177" s="112">
        <v>45177</v>
      </c>
      <c r="C177" s="111" t="s">
        <v>247</v>
      </c>
      <c r="D177" s="114">
        <v>2250</v>
      </c>
      <c r="E177">
        <v>29</v>
      </c>
      <c r="K177" s="2"/>
      <c r="L177" s="112">
        <v>45177</v>
      </c>
      <c r="N177" s="15">
        <f t="shared" si="10"/>
        <v>45181</v>
      </c>
      <c r="O177" s="112">
        <v>45181</v>
      </c>
      <c r="P177" s="10">
        <f t="shared" si="11"/>
        <v>-4</v>
      </c>
      <c r="Q177" s="10">
        <f t="shared" si="12"/>
        <v>0</v>
      </c>
      <c r="R177" s="10">
        <f t="shared" si="13"/>
        <v>-4</v>
      </c>
      <c r="S177" s="10">
        <f t="shared" si="14"/>
        <v>-34</v>
      </c>
    </row>
    <row r="178" spans="1:19" ht="12.75" x14ac:dyDescent="0.2">
      <c r="A178" s="111" t="s">
        <v>432</v>
      </c>
      <c r="B178" s="112">
        <v>45177</v>
      </c>
      <c r="C178" s="111" t="s">
        <v>433</v>
      </c>
      <c r="D178" s="114">
        <v>2250</v>
      </c>
      <c r="E178">
        <v>29</v>
      </c>
      <c r="K178" s="2"/>
      <c r="L178" s="112">
        <v>45177</v>
      </c>
      <c r="N178" s="15">
        <f t="shared" si="10"/>
        <v>45181</v>
      </c>
      <c r="O178" s="112">
        <v>45181</v>
      </c>
      <c r="P178" s="10">
        <f t="shared" si="11"/>
        <v>-4</v>
      </c>
      <c r="Q178" s="10">
        <f t="shared" si="12"/>
        <v>0</v>
      </c>
      <c r="R178" s="10">
        <f t="shared" si="13"/>
        <v>-4</v>
      </c>
      <c r="S178" s="10">
        <f t="shared" si="14"/>
        <v>-34</v>
      </c>
    </row>
    <row r="179" spans="1:19" ht="12.75" x14ac:dyDescent="0.2">
      <c r="A179" s="111" t="s">
        <v>434</v>
      </c>
      <c r="B179" s="112">
        <v>45177</v>
      </c>
      <c r="C179" s="111" t="s">
        <v>435</v>
      </c>
      <c r="D179" s="114">
        <v>2250</v>
      </c>
      <c r="E179">
        <v>29</v>
      </c>
      <c r="K179" s="2"/>
      <c r="L179" s="112">
        <v>45177</v>
      </c>
      <c r="N179" s="15">
        <f t="shared" si="10"/>
        <v>45181</v>
      </c>
      <c r="O179" s="112">
        <v>45181</v>
      </c>
      <c r="P179" s="10">
        <f t="shared" si="11"/>
        <v>-4</v>
      </c>
      <c r="Q179" s="10">
        <f t="shared" si="12"/>
        <v>0</v>
      </c>
      <c r="R179" s="10">
        <f t="shared" si="13"/>
        <v>-4</v>
      </c>
      <c r="S179" s="10">
        <f t="shared" si="14"/>
        <v>-34</v>
      </c>
    </row>
    <row r="180" spans="1:19" ht="12.75" x14ac:dyDescent="0.2">
      <c r="A180" s="111" t="s">
        <v>436</v>
      </c>
      <c r="B180" s="112">
        <v>45177</v>
      </c>
      <c r="C180" s="111" t="s">
        <v>437</v>
      </c>
      <c r="D180" s="114">
        <v>2250</v>
      </c>
      <c r="E180">
        <v>29</v>
      </c>
      <c r="K180" s="2"/>
      <c r="L180" s="112">
        <v>45177</v>
      </c>
      <c r="N180" s="15">
        <f t="shared" si="10"/>
        <v>45181</v>
      </c>
      <c r="O180" s="112">
        <v>45181</v>
      </c>
      <c r="P180" s="10">
        <f t="shared" si="11"/>
        <v>-4</v>
      </c>
      <c r="Q180" s="10">
        <f t="shared" si="12"/>
        <v>0</v>
      </c>
      <c r="R180" s="10">
        <f t="shared" si="13"/>
        <v>-4</v>
      </c>
      <c r="S180" s="10">
        <f t="shared" si="14"/>
        <v>-34</v>
      </c>
    </row>
    <row r="181" spans="1:19" ht="12.75" x14ac:dyDescent="0.2">
      <c r="A181" s="111" t="s">
        <v>438</v>
      </c>
      <c r="B181" s="112">
        <v>45177</v>
      </c>
      <c r="C181" s="111" t="s">
        <v>439</v>
      </c>
      <c r="D181" s="114">
        <v>2250</v>
      </c>
      <c r="E181">
        <v>29</v>
      </c>
      <c r="K181" s="2"/>
      <c r="L181" s="112">
        <v>45177</v>
      </c>
      <c r="N181" s="15">
        <f t="shared" si="10"/>
        <v>45181</v>
      </c>
      <c r="O181" s="112">
        <v>45181</v>
      </c>
      <c r="P181" s="10">
        <f t="shared" si="11"/>
        <v>-4</v>
      </c>
      <c r="Q181" s="10">
        <f t="shared" si="12"/>
        <v>0</v>
      </c>
      <c r="R181" s="10">
        <f t="shared" si="13"/>
        <v>-4</v>
      </c>
      <c r="S181" s="10">
        <f t="shared" si="14"/>
        <v>-34</v>
      </c>
    </row>
    <row r="182" spans="1:19" ht="12.75" x14ac:dyDescent="0.2">
      <c r="A182" s="111" t="s">
        <v>440</v>
      </c>
      <c r="B182" s="112">
        <v>45145</v>
      </c>
      <c r="C182" s="111" t="s">
        <v>441</v>
      </c>
      <c r="D182" s="114">
        <v>2250</v>
      </c>
      <c r="E182">
        <v>29</v>
      </c>
      <c r="K182" s="2"/>
      <c r="L182" s="112">
        <v>45145</v>
      </c>
      <c r="N182" s="15">
        <f t="shared" si="10"/>
        <v>45181</v>
      </c>
      <c r="O182" s="112">
        <v>45181</v>
      </c>
      <c r="P182" s="10">
        <f t="shared" si="11"/>
        <v>-36</v>
      </c>
      <c r="Q182" s="10">
        <f t="shared" si="12"/>
        <v>0</v>
      </c>
      <c r="R182" s="10">
        <f t="shared" si="13"/>
        <v>-36</v>
      </c>
      <c r="S182" s="10">
        <f t="shared" si="14"/>
        <v>-66</v>
      </c>
    </row>
    <row r="183" spans="1:19" ht="12.75" x14ac:dyDescent="0.2">
      <c r="A183" s="111" t="s">
        <v>442</v>
      </c>
      <c r="B183" s="112">
        <v>45169</v>
      </c>
      <c r="C183" s="111" t="s">
        <v>443</v>
      </c>
      <c r="D183" s="114">
        <v>22.9</v>
      </c>
      <c r="E183">
        <v>29</v>
      </c>
      <c r="K183" s="2"/>
      <c r="L183" s="112">
        <v>45169</v>
      </c>
      <c r="N183" s="15">
        <f t="shared" si="10"/>
        <v>45184</v>
      </c>
      <c r="O183" s="112">
        <v>45184</v>
      </c>
      <c r="P183" s="10">
        <f t="shared" si="11"/>
        <v>-15</v>
      </c>
      <c r="Q183" s="10">
        <f t="shared" si="12"/>
        <v>0</v>
      </c>
      <c r="R183" s="10">
        <f t="shared" si="13"/>
        <v>-15</v>
      </c>
      <c r="S183" s="10">
        <f t="shared" si="14"/>
        <v>-45</v>
      </c>
    </row>
    <row r="184" spans="1:19" ht="12.75" x14ac:dyDescent="0.2">
      <c r="A184" s="111" t="s">
        <v>444</v>
      </c>
      <c r="B184" s="112">
        <v>45125</v>
      </c>
      <c r="C184" s="111" t="s">
        <v>445</v>
      </c>
      <c r="D184" s="114">
        <v>24.35</v>
      </c>
      <c r="E184">
        <v>29</v>
      </c>
      <c r="K184" s="2"/>
      <c r="L184" s="112">
        <v>45125</v>
      </c>
      <c r="N184" s="15">
        <f t="shared" si="10"/>
        <v>45147</v>
      </c>
      <c r="O184" s="112">
        <v>45147</v>
      </c>
      <c r="P184" s="10">
        <f t="shared" si="11"/>
        <v>-22</v>
      </c>
      <c r="Q184" s="10">
        <f t="shared" si="12"/>
        <v>0</v>
      </c>
      <c r="R184" s="10">
        <f t="shared" si="13"/>
        <v>-22</v>
      </c>
      <c r="S184" s="10">
        <f t="shared" si="14"/>
        <v>-52</v>
      </c>
    </row>
    <row r="185" spans="1:19" ht="12.75" x14ac:dyDescent="0.2">
      <c r="A185" s="111" t="s">
        <v>446</v>
      </c>
      <c r="B185" s="112">
        <v>45132</v>
      </c>
      <c r="C185" s="111" t="s">
        <v>447</v>
      </c>
      <c r="D185" s="114">
        <v>24.09</v>
      </c>
      <c r="E185">
        <v>29</v>
      </c>
      <c r="K185" s="2"/>
      <c r="L185" s="112">
        <v>45132</v>
      </c>
      <c r="N185" s="15">
        <f t="shared" si="10"/>
        <v>45147</v>
      </c>
      <c r="O185" s="112">
        <v>45147</v>
      </c>
      <c r="P185" s="10">
        <f t="shared" si="11"/>
        <v>-15</v>
      </c>
      <c r="Q185" s="10">
        <f t="shared" si="12"/>
        <v>0</v>
      </c>
      <c r="R185" s="10">
        <f t="shared" si="13"/>
        <v>-15</v>
      </c>
      <c r="S185" s="10">
        <f t="shared" si="14"/>
        <v>-45</v>
      </c>
    </row>
    <row r="186" spans="1:19" ht="12.75" x14ac:dyDescent="0.2">
      <c r="A186" s="111" t="s">
        <v>448</v>
      </c>
      <c r="B186" s="112">
        <v>45129</v>
      </c>
      <c r="C186" s="111" t="s">
        <v>449</v>
      </c>
      <c r="D186" s="114">
        <v>30.01</v>
      </c>
      <c r="E186">
        <v>29</v>
      </c>
      <c r="K186" s="2"/>
      <c r="L186" s="112">
        <v>45129</v>
      </c>
      <c r="N186" s="15">
        <f t="shared" si="10"/>
        <v>45147</v>
      </c>
      <c r="O186" s="112">
        <v>45147</v>
      </c>
      <c r="P186" s="10">
        <f t="shared" si="11"/>
        <v>-18</v>
      </c>
      <c r="Q186" s="10">
        <f t="shared" si="12"/>
        <v>0</v>
      </c>
      <c r="R186" s="10">
        <f t="shared" si="13"/>
        <v>-18</v>
      </c>
      <c r="S186" s="10">
        <f t="shared" si="14"/>
        <v>-48</v>
      </c>
    </row>
    <row r="187" spans="1:19" ht="12.75" x14ac:dyDescent="0.2">
      <c r="A187" s="111" t="s">
        <v>450</v>
      </c>
      <c r="B187" s="112">
        <v>45122</v>
      </c>
      <c r="C187" s="111" t="s">
        <v>451</v>
      </c>
      <c r="D187" s="114">
        <v>23.58</v>
      </c>
      <c r="E187">
        <v>29</v>
      </c>
      <c r="K187" s="2"/>
      <c r="L187" s="112">
        <v>45122</v>
      </c>
      <c r="N187" s="15">
        <f t="shared" si="10"/>
        <v>45147</v>
      </c>
      <c r="O187" s="112">
        <v>45147</v>
      </c>
      <c r="P187" s="10">
        <f t="shared" si="11"/>
        <v>-25</v>
      </c>
      <c r="Q187" s="10">
        <f t="shared" si="12"/>
        <v>0</v>
      </c>
      <c r="R187" s="10">
        <f t="shared" si="13"/>
        <v>-25</v>
      </c>
      <c r="S187" s="10">
        <f t="shared" si="14"/>
        <v>-55</v>
      </c>
    </row>
    <row r="188" spans="1:19" ht="12.75" x14ac:dyDescent="0.2">
      <c r="A188" s="111" t="s">
        <v>452</v>
      </c>
      <c r="B188" s="112">
        <v>45136</v>
      </c>
      <c r="C188" s="111" t="s">
        <v>453</v>
      </c>
      <c r="D188" s="114">
        <v>28.31</v>
      </c>
      <c r="E188">
        <v>29</v>
      </c>
      <c r="K188" s="2"/>
      <c r="L188" s="112">
        <v>45136</v>
      </c>
      <c r="N188" s="15">
        <f t="shared" si="10"/>
        <v>45147</v>
      </c>
      <c r="O188" s="112">
        <v>45147</v>
      </c>
      <c r="P188" s="10">
        <f t="shared" si="11"/>
        <v>-11</v>
      </c>
      <c r="Q188" s="10">
        <f t="shared" si="12"/>
        <v>0</v>
      </c>
      <c r="R188" s="10">
        <f t="shared" si="13"/>
        <v>-11</v>
      </c>
      <c r="S188" s="10">
        <f t="shared" si="14"/>
        <v>-41</v>
      </c>
    </row>
    <row r="189" spans="1:19" ht="12.75" x14ac:dyDescent="0.2">
      <c r="A189" s="111" t="s">
        <v>454</v>
      </c>
      <c r="B189" s="112">
        <v>45184</v>
      </c>
      <c r="C189" s="111" t="s">
        <v>455</v>
      </c>
      <c r="D189" s="114">
        <v>45.2</v>
      </c>
      <c r="E189">
        <v>29</v>
      </c>
      <c r="K189" s="2"/>
      <c r="L189" s="112">
        <v>45184</v>
      </c>
      <c r="N189" s="15">
        <f t="shared" si="10"/>
        <v>45188</v>
      </c>
      <c r="O189" s="112">
        <v>45188</v>
      </c>
      <c r="P189" s="10">
        <f t="shared" si="11"/>
        <v>-4</v>
      </c>
      <c r="Q189" s="10">
        <f t="shared" si="12"/>
        <v>0</v>
      </c>
      <c r="R189" s="10">
        <f t="shared" si="13"/>
        <v>-4</v>
      </c>
      <c r="S189" s="10">
        <f t="shared" si="14"/>
        <v>-34</v>
      </c>
    </row>
    <row r="190" spans="1:19" ht="12.75" x14ac:dyDescent="0.2">
      <c r="A190" s="111" t="s">
        <v>456</v>
      </c>
      <c r="B190" s="112">
        <v>45153</v>
      </c>
      <c r="C190" s="111" t="s">
        <v>457</v>
      </c>
      <c r="D190" s="114">
        <v>94.5</v>
      </c>
      <c r="E190">
        <v>29</v>
      </c>
      <c r="K190" s="2"/>
      <c r="L190" s="112">
        <v>45153</v>
      </c>
      <c r="N190" s="15">
        <f t="shared" si="10"/>
        <v>45155</v>
      </c>
      <c r="O190" s="112">
        <v>45155</v>
      </c>
      <c r="P190" s="10">
        <f t="shared" si="11"/>
        <v>-2</v>
      </c>
      <c r="Q190" s="10">
        <f t="shared" si="12"/>
        <v>0</v>
      </c>
      <c r="R190" s="10">
        <f t="shared" si="13"/>
        <v>-2</v>
      </c>
      <c r="S190" s="10">
        <f t="shared" si="14"/>
        <v>-32</v>
      </c>
    </row>
    <row r="191" spans="1:19" ht="12.75" x14ac:dyDescent="0.2">
      <c r="A191" s="111" t="s">
        <v>458</v>
      </c>
      <c r="B191" s="112">
        <v>45153</v>
      </c>
      <c r="C191" s="111" t="s">
        <v>459</v>
      </c>
      <c r="D191" s="114">
        <v>45.2</v>
      </c>
      <c r="E191">
        <v>29</v>
      </c>
      <c r="K191" s="2"/>
      <c r="L191" s="112">
        <v>45153</v>
      </c>
      <c r="N191" s="15">
        <f t="shared" si="10"/>
        <v>45155</v>
      </c>
      <c r="O191" s="112">
        <v>45155</v>
      </c>
      <c r="P191" s="10">
        <f t="shared" si="11"/>
        <v>-2</v>
      </c>
      <c r="Q191" s="10">
        <f t="shared" si="12"/>
        <v>0</v>
      </c>
      <c r="R191" s="10">
        <f t="shared" si="13"/>
        <v>-2</v>
      </c>
      <c r="S191" s="10">
        <f t="shared" si="14"/>
        <v>-32</v>
      </c>
    </row>
    <row r="192" spans="1:19" ht="12.75" x14ac:dyDescent="0.2">
      <c r="A192" s="111" t="s">
        <v>460</v>
      </c>
      <c r="B192" s="112">
        <v>45184</v>
      </c>
      <c r="C192" s="111" t="s">
        <v>461</v>
      </c>
      <c r="D192" s="114">
        <v>94.5</v>
      </c>
      <c r="E192">
        <v>29</v>
      </c>
      <c r="K192" s="2"/>
      <c r="L192" s="112">
        <v>45184</v>
      </c>
      <c r="N192" s="15">
        <f t="shared" si="10"/>
        <v>45188</v>
      </c>
      <c r="O192" s="112">
        <v>45188</v>
      </c>
      <c r="P192" s="10">
        <f t="shared" si="11"/>
        <v>-4</v>
      </c>
      <c r="Q192" s="10">
        <f t="shared" si="12"/>
        <v>0</v>
      </c>
      <c r="R192" s="10">
        <f t="shared" si="13"/>
        <v>-4</v>
      </c>
      <c r="S192" s="10">
        <f t="shared" si="14"/>
        <v>-34</v>
      </c>
    </row>
    <row r="193" spans="1:19" ht="12.75" x14ac:dyDescent="0.2">
      <c r="A193" s="111" t="s">
        <v>462</v>
      </c>
      <c r="B193" s="112">
        <v>45169</v>
      </c>
      <c r="C193" s="111" t="s">
        <v>463</v>
      </c>
      <c r="D193" s="114">
        <v>80</v>
      </c>
      <c r="E193">
        <v>29</v>
      </c>
      <c r="K193" s="2"/>
      <c r="L193" s="112">
        <v>45169</v>
      </c>
      <c r="N193" s="15">
        <f t="shared" si="10"/>
        <v>45199</v>
      </c>
      <c r="O193" s="112">
        <v>45199</v>
      </c>
      <c r="P193" s="10">
        <f t="shared" si="11"/>
        <v>-30</v>
      </c>
      <c r="Q193" s="10">
        <f t="shared" si="12"/>
        <v>0</v>
      </c>
      <c r="R193" s="10">
        <f t="shared" si="13"/>
        <v>-30</v>
      </c>
      <c r="S193" s="10">
        <f t="shared" si="14"/>
        <v>-60</v>
      </c>
    </row>
    <row r="194" spans="1:19" ht="12.75" x14ac:dyDescent="0.2">
      <c r="A194" s="111" t="s">
        <v>464</v>
      </c>
      <c r="B194" s="112">
        <v>45183</v>
      </c>
      <c r="C194" s="111" t="s">
        <v>465</v>
      </c>
      <c r="D194" s="114">
        <v>50</v>
      </c>
      <c r="E194">
        <v>29</v>
      </c>
      <c r="K194" s="2"/>
      <c r="L194" s="112">
        <v>45183</v>
      </c>
      <c r="N194" s="15">
        <f t="shared" si="10"/>
        <v>45181</v>
      </c>
      <c r="O194" s="112">
        <v>45181</v>
      </c>
      <c r="P194" s="10">
        <f t="shared" si="11"/>
        <v>2</v>
      </c>
      <c r="Q194" s="10">
        <f t="shared" si="12"/>
        <v>0</v>
      </c>
      <c r="R194" s="10">
        <f t="shared" si="13"/>
        <v>2</v>
      </c>
      <c r="S194" s="10">
        <f t="shared" si="14"/>
        <v>-28</v>
      </c>
    </row>
    <row r="195" spans="1:19" ht="12.75" x14ac:dyDescent="0.2">
      <c r="A195" s="111" t="s">
        <v>466</v>
      </c>
      <c r="B195" s="112">
        <v>45188</v>
      </c>
      <c r="C195" s="111" t="s">
        <v>467</v>
      </c>
      <c r="D195" s="114">
        <v>50</v>
      </c>
      <c r="E195">
        <v>29</v>
      </c>
      <c r="K195" s="2"/>
      <c r="L195" s="112">
        <v>45188</v>
      </c>
      <c r="N195" s="15">
        <f t="shared" si="10"/>
        <v>45188</v>
      </c>
      <c r="O195" s="112">
        <v>45188</v>
      </c>
      <c r="P195" s="10">
        <f t="shared" si="11"/>
        <v>0</v>
      </c>
      <c r="Q195" s="10">
        <f t="shared" si="12"/>
        <v>0</v>
      </c>
      <c r="R195" s="10">
        <f t="shared" si="13"/>
        <v>0</v>
      </c>
      <c r="S195" s="10">
        <f t="shared" si="14"/>
        <v>-30</v>
      </c>
    </row>
    <row r="196" spans="1:19" ht="12.75" x14ac:dyDescent="0.2">
      <c r="A196" s="111" t="s">
        <v>468</v>
      </c>
      <c r="B196" s="112">
        <v>45190</v>
      </c>
      <c r="C196" s="111" t="s">
        <v>469</v>
      </c>
      <c r="D196" s="114">
        <v>1802.9</v>
      </c>
      <c r="E196">
        <v>29</v>
      </c>
      <c r="K196" s="2"/>
      <c r="L196" s="112">
        <v>45190</v>
      </c>
      <c r="N196" s="15">
        <f t="shared" si="10"/>
        <v>45196</v>
      </c>
      <c r="O196" s="112">
        <v>45196</v>
      </c>
      <c r="P196" s="10">
        <f t="shared" si="11"/>
        <v>-6</v>
      </c>
      <c r="Q196" s="10">
        <f t="shared" si="12"/>
        <v>0</v>
      </c>
      <c r="R196" s="10">
        <f t="shared" si="13"/>
        <v>-6</v>
      </c>
      <c r="S196" s="10">
        <f t="shared" si="14"/>
        <v>-36</v>
      </c>
    </row>
    <row r="197" spans="1:19" ht="12.75" x14ac:dyDescent="0.2">
      <c r="A197" s="111" t="s">
        <v>470</v>
      </c>
      <c r="B197" s="112">
        <v>45190</v>
      </c>
      <c r="C197" s="111" t="s">
        <v>471</v>
      </c>
      <c r="D197" s="114">
        <v>149.93</v>
      </c>
      <c r="E197">
        <v>29</v>
      </c>
      <c r="K197" s="2"/>
      <c r="L197" s="112">
        <v>45190</v>
      </c>
      <c r="N197" s="15">
        <f t="shared" si="10"/>
        <v>45167</v>
      </c>
      <c r="O197" s="112">
        <v>45167</v>
      </c>
      <c r="P197" s="10">
        <f t="shared" si="11"/>
        <v>23</v>
      </c>
      <c r="Q197" s="10">
        <f t="shared" si="12"/>
        <v>0</v>
      </c>
      <c r="R197" s="10">
        <f t="shared" si="13"/>
        <v>23</v>
      </c>
      <c r="S197" s="10">
        <f t="shared" si="14"/>
        <v>-7</v>
      </c>
    </row>
    <row r="198" spans="1:19" ht="12.75" x14ac:dyDescent="0.2">
      <c r="A198" s="111" t="s">
        <v>472</v>
      </c>
      <c r="B198" s="112">
        <v>45194</v>
      </c>
      <c r="C198" s="111" t="s">
        <v>473</v>
      </c>
      <c r="D198" s="114">
        <v>791.34</v>
      </c>
      <c r="E198">
        <v>29</v>
      </c>
      <c r="K198" s="2"/>
      <c r="L198" s="112">
        <v>45194</v>
      </c>
      <c r="N198" s="15">
        <f t="shared" si="10"/>
        <v>45197</v>
      </c>
      <c r="O198" s="112">
        <v>45197</v>
      </c>
      <c r="P198" s="10">
        <f t="shared" si="11"/>
        <v>-3</v>
      </c>
      <c r="Q198" s="10">
        <f t="shared" si="12"/>
        <v>0</v>
      </c>
      <c r="R198" s="10">
        <f t="shared" si="13"/>
        <v>-3</v>
      </c>
      <c r="S198" s="10">
        <f t="shared" si="14"/>
        <v>-33</v>
      </c>
    </row>
    <row r="199" spans="1:19" ht="12.75" x14ac:dyDescent="0.2">
      <c r="A199" s="111" t="s">
        <v>474</v>
      </c>
      <c r="B199" s="112">
        <v>45192</v>
      </c>
      <c r="C199" s="111" t="s">
        <v>475</v>
      </c>
      <c r="D199" s="114">
        <v>2436.0700000000002</v>
      </c>
      <c r="E199">
        <v>29</v>
      </c>
      <c r="K199" s="2"/>
      <c r="L199" s="112">
        <v>45192</v>
      </c>
      <c r="N199" s="15">
        <f t="shared" ref="N199:N202" si="15">+O199</f>
        <v>45197</v>
      </c>
      <c r="O199" s="112">
        <v>45197</v>
      </c>
      <c r="P199" s="10">
        <f t="shared" ref="P199:P211" si="16">+L199-N199</f>
        <v>-5</v>
      </c>
      <c r="Q199" s="10">
        <f t="shared" ref="Q199:Q211" si="17">+N199-O199</f>
        <v>0</v>
      </c>
      <c r="R199" s="10">
        <f t="shared" ref="R199:R211" si="18">+L199-O199</f>
        <v>-5</v>
      </c>
      <c r="S199" s="10">
        <f t="shared" ref="S199:S202" si="19">+R199-30</f>
        <v>-35</v>
      </c>
    </row>
    <row r="200" spans="1:19" ht="12.75" x14ac:dyDescent="0.2">
      <c r="A200" s="111" t="s">
        <v>476</v>
      </c>
      <c r="B200" s="112">
        <v>45108</v>
      </c>
      <c r="C200" s="111" t="s">
        <v>477</v>
      </c>
      <c r="D200" s="114">
        <v>887.91</v>
      </c>
      <c r="E200">
        <v>69</v>
      </c>
      <c r="K200" s="2"/>
      <c r="L200" s="112">
        <v>45108</v>
      </c>
      <c r="N200" s="15">
        <f t="shared" si="15"/>
        <v>45108</v>
      </c>
      <c r="O200" s="112">
        <v>45108</v>
      </c>
      <c r="P200" s="10">
        <f t="shared" si="16"/>
        <v>0</v>
      </c>
      <c r="Q200" s="10">
        <f t="shared" si="17"/>
        <v>0</v>
      </c>
      <c r="R200" s="10">
        <f t="shared" si="18"/>
        <v>0</v>
      </c>
      <c r="S200" s="10">
        <f t="shared" si="19"/>
        <v>-30</v>
      </c>
    </row>
    <row r="201" spans="1:19" ht="12.75" x14ac:dyDescent="0.2">
      <c r="A201" s="111" t="s">
        <v>478</v>
      </c>
      <c r="B201" s="112">
        <v>45134</v>
      </c>
      <c r="C201" s="111" t="s">
        <v>479</v>
      </c>
      <c r="D201" s="114">
        <v>5709.99</v>
      </c>
      <c r="E201">
        <v>69</v>
      </c>
      <c r="K201" s="2"/>
      <c r="L201" s="112">
        <v>45135</v>
      </c>
      <c r="N201" s="15">
        <f t="shared" si="15"/>
        <v>45146</v>
      </c>
      <c r="O201" s="112">
        <v>45146</v>
      </c>
      <c r="P201" s="10">
        <f t="shared" si="16"/>
        <v>-11</v>
      </c>
      <c r="Q201" s="10">
        <f t="shared" si="17"/>
        <v>0</v>
      </c>
      <c r="R201" s="10">
        <f t="shared" si="18"/>
        <v>-11</v>
      </c>
      <c r="S201" s="10">
        <f t="shared" si="19"/>
        <v>-41</v>
      </c>
    </row>
    <row r="202" spans="1:19" ht="12.75" x14ac:dyDescent="0.2">
      <c r="A202" s="111" t="s">
        <v>480</v>
      </c>
      <c r="B202" s="112">
        <v>45190</v>
      </c>
      <c r="C202" s="111" t="s">
        <v>481</v>
      </c>
      <c r="D202" s="182">
        <v>1889.54</v>
      </c>
      <c r="E202">
        <v>69</v>
      </c>
      <c r="K202" s="2"/>
      <c r="L202" s="112">
        <v>45190</v>
      </c>
      <c r="N202" s="15">
        <f t="shared" si="15"/>
        <v>45197</v>
      </c>
      <c r="O202" s="112">
        <v>45197</v>
      </c>
      <c r="P202" s="10">
        <f t="shared" si="16"/>
        <v>-7</v>
      </c>
      <c r="Q202" s="10">
        <f t="shared" si="17"/>
        <v>0</v>
      </c>
      <c r="R202" s="10">
        <f t="shared" si="18"/>
        <v>-7</v>
      </c>
      <c r="S202" s="10">
        <f t="shared" si="19"/>
        <v>-37</v>
      </c>
    </row>
    <row r="203" spans="1:19" ht="12.75" x14ac:dyDescent="0.2">
      <c r="D203" s="8">
        <f>SUM(D7:D202)</f>
        <v>183636.97999999998</v>
      </c>
      <c r="K203" s="2"/>
      <c r="O203" s="112"/>
      <c r="S203" s="10"/>
    </row>
    <row r="204" spans="1:19" x14ac:dyDescent="0.2">
      <c r="K204" s="2"/>
      <c r="O204" s="15"/>
      <c r="S204" s="10"/>
    </row>
    <row r="205" spans="1:19" x14ac:dyDescent="0.2">
      <c r="K205" s="2"/>
      <c r="O205" s="15"/>
      <c r="S205" s="10"/>
    </row>
    <row r="206" spans="1:19" x14ac:dyDescent="0.2">
      <c r="D206" s="8">
        <f>SUM(D7:D22)</f>
        <v>10157.499999999998</v>
      </c>
      <c r="F206" s="2">
        <v>16</v>
      </c>
      <c r="K206" s="2"/>
      <c r="O206" s="15"/>
      <c r="S206" s="10"/>
    </row>
    <row r="207" spans="1:19" x14ac:dyDescent="0.2">
      <c r="D207" s="8">
        <f>SUM(D23:D45)</f>
        <v>10265.049999999997</v>
      </c>
      <c r="F207" s="2">
        <v>23</v>
      </c>
      <c r="K207" s="2"/>
      <c r="O207" s="15"/>
      <c r="S207" s="10"/>
    </row>
    <row r="208" spans="1:19" x14ac:dyDescent="0.2">
      <c r="D208" s="8">
        <f>SUM(D46:D62)</f>
        <v>18544.850000000002</v>
      </c>
      <c r="F208" s="2">
        <v>18</v>
      </c>
      <c r="K208" s="2"/>
      <c r="O208" s="15"/>
      <c r="S208" s="10"/>
    </row>
    <row r="209" spans="4:19" x14ac:dyDescent="0.2">
      <c r="D209" s="8">
        <f>SUM(D63:D199)</f>
        <v>136182.13999999996</v>
      </c>
      <c r="F209" s="2">
        <v>136</v>
      </c>
      <c r="K209" s="2"/>
      <c r="O209" s="15"/>
      <c r="S209" s="10"/>
    </row>
    <row r="210" spans="4:19" x14ac:dyDescent="0.2">
      <c r="D210" s="183">
        <f>SUM(D200:D202)</f>
        <v>8487.4399999999987</v>
      </c>
      <c r="F210" s="184">
        <v>3</v>
      </c>
      <c r="K210" s="2"/>
      <c r="O210" s="15"/>
      <c r="S210" s="10"/>
    </row>
    <row r="211" spans="4:19" x14ac:dyDescent="0.2">
      <c r="D211" s="8">
        <f>SUM(D206:D210)</f>
        <v>183636.97999999995</v>
      </c>
      <c r="F211" s="2">
        <f>SUM(F206:F210)</f>
        <v>196</v>
      </c>
      <c r="K211" s="2"/>
      <c r="O211" s="15"/>
      <c r="S211" s="10"/>
    </row>
  </sheetData>
  <sheetProtection selectLockedCells="1" selectUnlockedCells="1"/>
  <mergeCells count="1">
    <mergeCell ref="M2:N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55"/>
  <sheetViews>
    <sheetView zoomScale="85" zoomScaleNormal="85" workbookViewId="0">
      <pane ySplit="7" topLeftCell="A21" activePane="bottomLeft" state="frozen"/>
      <selection pane="bottomLeft" activeCell="A8" sqref="A8:XFD56"/>
    </sheetView>
  </sheetViews>
  <sheetFormatPr defaultRowHeight="11.25" x14ac:dyDescent="0.2"/>
  <cols>
    <col min="1" max="1" width="13.14062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5.42578125" style="15" bestFit="1" customWidth="1"/>
    <col min="12" max="12" width="9.28515625" style="15" bestFit="1" customWidth="1"/>
    <col min="13" max="13" width="27.140625" style="15" customWidth="1"/>
    <col min="14" max="14" width="10.7109375" style="15" bestFit="1" customWidth="1"/>
    <col min="15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H1" s="4"/>
      <c r="I1" s="4"/>
      <c r="J1" s="4"/>
      <c r="P1" s="10" t="s">
        <v>89</v>
      </c>
      <c r="Q1" s="104">
        <v>45199</v>
      </c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1" t="s">
        <v>80</v>
      </c>
      <c r="P7" s="12" t="s">
        <v>87</v>
      </c>
      <c r="Q7" s="13" t="s">
        <v>88</v>
      </c>
      <c r="R7" s="14" t="s">
        <v>56</v>
      </c>
      <c r="S7" s="2" t="s">
        <v>83</v>
      </c>
      <c r="T7" s="8" t="s">
        <v>84</v>
      </c>
      <c r="U7" s="8" t="s">
        <v>85</v>
      </c>
      <c r="V7" s="2" t="s">
        <v>86</v>
      </c>
    </row>
    <row r="8" spans="1:22" ht="12.75" x14ac:dyDescent="0.2">
      <c r="A8" s="111" t="s">
        <v>482</v>
      </c>
      <c r="B8" s="112">
        <v>45187</v>
      </c>
      <c r="C8" s="111" t="s">
        <v>483</v>
      </c>
      <c r="D8" s="114">
        <v>744.15</v>
      </c>
      <c r="E8">
        <v>21</v>
      </c>
      <c r="K8" s="2"/>
      <c r="L8" s="112">
        <v>45187</v>
      </c>
      <c r="M8" s="15">
        <f t="shared" ref="M8:M47" si="0">+N8</f>
        <v>45200</v>
      </c>
      <c r="N8" s="112">
        <v>45200</v>
      </c>
      <c r="O8" s="2"/>
      <c r="P8" s="10">
        <f>+M8-$Q$2</f>
        <v>45200</v>
      </c>
      <c r="Q8" s="10">
        <f>+L8-$Q$2</f>
        <v>45187</v>
      </c>
      <c r="S8" s="10"/>
    </row>
    <row r="9" spans="1:22" ht="12.75" x14ac:dyDescent="0.2">
      <c r="A9" s="111" t="s">
        <v>484</v>
      </c>
      <c r="B9" s="112">
        <v>45197</v>
      </c>
      <c r="C9" s="111" t="s">
        <v>485</v>
      </c>
      <c r="D9" s="114">
        <v>92.93</v>
      </c>
      <c r="E9">
        <v>21</v>
      </c>
      <c r="K9" s="2"/>
      <c r="L9" s="112">
        <v>45197</v>
      </c>
      <c r="M9" s="15">
        <f t="shared" si="0"/>
        <v>45215</v>
      </c>
      <c r="N9" s="112">
        <v>45215</v>
      </c>
      <c r="O9" s="2"/>
      <c r="P9" s="10">
        <f t="shared" ref="P9:P47" si="1">+M9-$Q$2</f>
        <v>45215</v>
      </c>
      <c r="Q9" s="10">
        <f t="shared" ref="Q9:Q47" si="2">+L9-$Q$2</f>
        <v>45197</v>
      </c>
      <c r="S9" s="10"/>
    </row>
    <row r="10" spans="1:22" ht="12.75" x14ac:dyDescent="0.2">
      <c r="A10" s="111" t="s">
        <v>486</v>
      </c>
      <c r="B10" s="112">
        <v>45198</v>
      </c>
      <c r="C10" s="111" t="s">
        <v>487</v>
      </c>
      <c r="D10" s="114">
        <v>151.25</v>
      </c>
      <c r="E10">
        <v>21</v>
      </c>
      <c r="K10" s="2"/>
      <c r="L10" s="112">
        <v>45198</v>
      </c>
      <c r="M10" s="15">
        <f t="shared" si="0"/>
        <v>45215</v>
      </c>
      <c r="N10" s="112">
        <v>45215</v>
      </c>
      <c r="O10" s="2"/>
      <c r="P10" s="10">
        <f t="shared" si="1"/>
        <v>45215</v>
      </c>
      <c r="Q10" s="10">
        <f t="shared" si="2"/>
        <v>45198</v>
      </c>
      <c r="S10" s="10"/>
    </row>
    <row r="11" spans="1:22" ht="12.75" x14ac:dyDescent="0.2">
      <c r="A11" s="111" t="s">
        <v>488</v>
      </c>
      <c r="B11" s="112">
        <v>45195</v>
      </c>
      <c r="C11" s="111" t="s">
        <v>489</v>
      </c>
      <c r="D11" s="114">
        <v>421.66</v>
      </c>
      <c r="E11">
        <v>21</v>
      </c>
      <c r="K11" s="2"/>
      <c r="L11" s="112">
        <v>45195</v>
      </c>
      <c r="M11" s="15">
        <f t="shared" si="0"/>
        <v>45214</v>
      </c>
      <c r="N11" s="112">
        <v>45214</v>
      </c>
      <c r="O11" s="2"/>
      <c r="P11" s="10">
        <f t="shared" si="1"/>
        <v>45214</v>
      </c>
      <c r="Q11" s="10">
        <f t="shared" si="2"/>
        <v>45195</v>
      </c>
      <c r="S11" s="10"/>
    </row>
    <row r="12" spans="1:22" ht="12.75" x14ac:dyDescent="0.2">
      <c r="A12" s="111" t="s">
        <v>490</v>
      </c>
      <c r="B12" s="112">
        <v>45197</v>
      </c>
      <c r="C12" s="111" t="s">
        <v>491</v>
      </c>
      <c r="D12" s="114">
        <v>29.12</v>
      </c>
      <c r="E12">
        <v>22</v>
      </c>
      <c r="K12" s="2"/>
      <c r="L12" s="112">
        <v>45197</v>
      </c>
      <c r="M12" s="15">
        <f t="shared" si="0"/>
        <v>45200</v>
      </c>
      <c r="N12" s="112">
        <v>45200</v>
      </c>
      <c r="O12" s="2"/>
      <c r="P12" s="10">
        <f t="shared" si="1"/>
        <v>45200</v>
      </c>
      <c r="Q12" s="10">
        <f t="shared" si="2"/>
        <v>45197</v>
      </c>
      <c r="S12" s="10"/>
    </row>
    <row r="13" spans="1:22" ht="12.75" x14ac:dyDescent="0.2">
      <c r="A13" s="111" t="s">
        <v>492</v>
      </c>
      <c r="B13" s="112">
        <v>45191</v>
      </c>
      <c r="C13" s="111" t="s">
        <v>493</v>
      </c>
      <c r="D13" s="114">
        <v>19.899999999999999</v>
      </c>
      <c r="E13">
        <v>22</v>
      </c>
      <c r="K13" s="2"/>
      <c r="L13" s="112">
        <v>45191</v>
      </c>
      <c r="M13" s="15">
        <f t="shared" si="0"/>
        <v>45200</v>
      </c>
      <c r="N13" s="112">
        <v>45200</v>
      </c>
      <c r="O13" s="2"/>
      <c r="P13" s="10">
        <f t="shared" si="1"/>
        <v>45200</v>
      </c>
      <c r="Q13" s="10">
        <f t="shared" si="2"/>
        <v>45191</v>
      </c>
      <c r="S13" s="10"/>
    </row>
    <row r="14" spans="1:22" ht="12.75" x14ac:dyDescent="0.2">
      <c r="A14" s="111" t="s">
        <v>494</v>
      </c>
      <c r="B14" s="112">
        <v>45182</v>
      </c>
      <c r="C14" s="111" t="s">
        <v>495</v>
      </c>
      <c r="D14" s="114">
        <v>194.59</v>
      </c>
      <c r="E14">
        <v>22</v>
      </c>
      <c r="K14" s="2"/>
      <c r="L14" s="112">
        <v>45183</v>
      </c>
      <c r="M14" s="15">
        <f t="shared" si="0"/>
        <v>45215</v>
      </c>
      <c r="N14" s="112">
        <v>45215</v>
      </c>
      <c r="O14" s="2"/>
      <c r="P14" s="10">
        <f t="shared" si="1"/>
        <v>45215</v>
      </c>
      <c r="Q14" s="10">
        <f t="shared" si="2"/>
        <v>45183</v>
      </c>
      <c r="S14" s="10"/>
    </row>
    <row r="15" spans="1:22" ht="12.75" x14ac:dyDescent="0.2">
      <c r="A15" s="111" t="s">
        <v>496</v>
      </c>
      <c r="B15" s="112">
        <v>45199</v>
      </c>
      <c r="C15" s="111" t="s">
        <v>497</v>
      </c>
      <c r="D15" s="114">
        <v>798.62</v>
      </c>
      <c r="E15">
        <v>22</v>
      </c>
      <c r="K15" s="2"/>
      <c r="L15" s="112">
        <v>45199</v>
      </c>
      <c r="M15" s="15">
        <f t="shared" si="0"/>
        <v>45229</v>
      </c>
      <c r="N15" s="112">
        <v>45229</v>
      </c>
      <c r="O15" s="2"/>
      <c r="P15" s="10">
        <f t="shared" si="1"/>
        <v>45229</v>
      </c>
      <c r="Q15" s="10">
        <f t="shared" si="2"/>
        <v>45199</v>
      </c>
      <c r="S15" s="10"/>
    </row>
    <row r="16" spans="1:22" ht="12.75" x14ac:dyDescent="0.2">
      <c r="A16" s="111" t="s">
        <v>498</v>
      </c>
      <c r="B16" s="112">
        <v>45199</v>
      </c>
      <c r="C16" s="111" t="s">
        <v>499</v>
      </c>
      <c r="D16" s="114">
        <v>149.5</v>
      </c>
      <c r="E16">
        <v>22</v>
      </c>
      <c r="K16" s="2"/>
      <c r="L16" s="112">
        <v>45199</v>
      </c>
      <c r="M16" s="15">
        <f t="shared" si="0"/>
        <v>45229</v>
      </c>
      <c r="N16" s="112">
        <v>45229</v>
      </c>
      <c r="O16" s="2"/>
      <c r="P16" s="10">
        <f t="shared" si="1"/>
        <v>45229</v>
      </c>
      <c r="Q16" s="10">
        <f t="shared" si="2"/>
        <v>45199</v>
      </c>
      <c r="S16" s="10"/>
    </row>
    <row r="17" spans="1:19" ht="12.75" x14ac:dyDescent="0.2">
      <c r="A17" s="111" t="s">
        <v>500</v>
      </c>
      <c r="B17" s="112">
        <v>45169</v>
      </c>
      <c r="C17" s="111" t="s">
        <v>501</v>
      </c>
      <c r="D17" s="114">
        <v>8.5299999999999994</v>
      </c>
      <c r="E17">
        <v>29</v>
      </c>
      <c r="K17" s="2"/>
      <c r="L17" s="112">
        <v>45169</v>
      </c>
      <c r="M17" s="15">
        <f t="shared" si="0"/>
        <v>45200</v>
      </c>
      <c r="N17" s="112">
        <v>45200</v>
      </c>
      <c r="O17" s="2"/>
      <c r="P17" s="10">
        <f t="shared" si="1"/>
        <v>45200</v>
      </c>
      <c r="Q17" s="10">
        <f t="shared" si="2"/>
        <v>45169</v>
      </c>
      <c r="S17" s="10"/>
    </row>
    <row r="18" spans="1:19" ht="12.75" x14ac:dyDescent="0.2">
      <c r="A18" s="111" t="s">
        <v>502</v>
      </c>
      <c r="B18" s="112">
        <v>45180</v>
      </c>
      <c r="C18" s="111" t="s">
        <v>503</v>
      </c>
      <c r="D18" s="114">
        <v>159.96</v>
      </c>
      <c r="E18">
        <v>29</v>
      </c>
      <c r="K18" s="2"/>
      <c r="L18" s="112">
        <v>45180</v>
      </c>
      <c r="M18" s="15">
        <f t="shared" si="0"/>
        <v>45200</v>
      </c>
      <c r="N18" s="112">
        <v>45200</v>
      </c>
      <c r="O18" s="2"/>
      <c r="P18" s="10">
        <f t="shared" si="1"/>
        <v>45200</v>
      </c>
      <c r="Q18" s="10">
        <f t="shared" si="2"/>
        <v>45180</v>
      </c>
      <c r="S18" s="10"/>
    </row>
    <row r="19" spans="1:19" ht="12.75" x14ac:dyDescent="0.2">
      <c r="A19" s="111" t="s">
        <v>504</v>
      </c>
      <c r="B19" s="112">
        <v>45169</v>
      </c>
      <c r="C19" s="111" t="s">
        <v>505</v>
      </c>
      <c r="D19" s="114">
        <v>12.32</v>
      </c>
      <c r="E19">
        <v>29</v>
      </c>
      <c r="K19" s="2"/>
      <c r="L19" s="112">
        <v>45169</v>
      </c>
      <c r="M19" s="15">
        <f t="shared" si="0"/>
        <v>45200</v>
      </c>
      <c r="N19" s="112">
        <v>45200</v>
      </c>
      <c r="O19" s="2"/>
      <c r="P19" s="10">
        <f t="shared" si="1"/>
        <v>45200</v>
      </c>
      <c r="Q19" s="10">
        <f t="shared" si="2"/>
        <v>45169</v>
      </c>
      <c r="S19" s="10"/>
    </row>
    <row r="20" spans="1:19" ht="12.75" x14ac:dyDescent="0.2">
      <c r="A20" s="111" t="s">
        <v>506</v>
      </c>
      <c r="B20" s="112">
        <v>45184</v>
      </c>
      <c r="C20" s="111" t="s">
        <v>507</v>
      </c>
      <c r="D20" s="114">
        <v>1851.3</v>
      </c>
      <c r="E20">
        <v>29</v>
      </c>
      <c r="K20" s="2"/>
      <c r="L20" s="112">
        <v>45184</v>
      </c>
      <c r="M20" s="15">
        <f t="shared" si="0"/>
        <v>45200</v>
      </c>
      <c r="N20" s="112">
        <v>45200</v>
      </c>
      <c r="O20" s="2"/>
      <c r="P20" s="10">
        <f t="shared" si="1"/>
        <v>45200</v>
      </c>
      <c r="Q20" s="10">
        <f t="shared" si="2"/>
        <v>45184</v>
      </c>
      <c r="S20" s="10"/>
    </row>
    <row r="21" spans="1:19" ht="12.75" x14ac:dyDescent="0.2">
      <c r="A21" s="111" t="s">
        <v>508</v>
      </c>
      <c r="B21" s="112">
        <v>45198</v>
      </c>
      <c r="C21" s="111" t="s">
        <v>509</v>
      </c>
      <c r="D21" s="114">
        <v>109.36</v>
      </c>
      <c r="E21">
        <v>29</v>
      </c>
      <c r="K21" s="2"/>
      <c r="L21" s="112">
        <v>45198</v>
      </c>
      <c r="M21" s="15">
        <f t="shared" si="0"/>
        <v>45200</v>
      </c>
      <c r="N21" s="112">
        <v>45200</v>
      </c>
      <c r="O21" s="2"/>
      <c r="P21" s="10">
        <f t="shared" si="1"/>
        <v>45200</v>
      </c>
      <c r="Q21" s="10">
        <f t="shared" si="2"/>
        <v>45198</v>
      </c>
      <c r="S21" s="10"/>
    </row>
    <row r="22" spans="1:19" ht="12.75" x14ac:dyDescent="0.2">
      <c r="A22" s="111" t="s">
        <v>510</v>
      </c>
      <c r="B22" s="112">
        <v>45198</v>
      </c>
      <c r="C22" s="111" t="s">
        <v>511</v>
      </c>
      <c r="D22" s="114">
        <v>109.36</v>
      </c>
      <c r="E22">
        <v>29</v>
      </c>
      <c r="K22" s="2"/>
      <c r="L22" s="112">
        <v>45198</v>
      </c>
      <c r="M22" s="15">
        <f t="shared" si="0"/>
        <v>45200</v>
      </c>
      <c r="N22" s="112">
        <v>45200</v>
      </c>
      <c r="O22" s="2"/>
      <c r="P22" s="10">
        <f t="shared" si="1"/>
        <v>45200</v>
      </c>
      <c r="Q22" s="10">
        <f t="shared" si="2"/>
        <v>45198</v>
      </c>
      <c r="S22" s="10"/>
    </row>
    <row r="23" spans="1:19" ht="12.75" x14ac:dyDescent="0.2">
      <c r="A23" s="111" t="s">
        <v>512</v>
      </c>
      <c r="B23" s="112">
        <v>45199</v>
      </c>
      <c r="C23" s="111" t="s">
        <v>513</v>
      </c>
      <c r="D23" s="114">
        <v>379.94</v>
      </c>
      <c r="E23">
        <v>29</v>
      </c>
      <c r="K23" s="2"/>
      <c r="L23" s="112">
        <v>45199</v>
      </c>
      <c r="M23" s="15">
        <f t="shared" si="0"/>
        <v>45201</v>
      </c>
      <c r="N23" s="112">
        <v>45201</v>
      </c>
      <c r="O23" s="2"/>
      <c r="P23" s="10">
        <f t="shared" si="1"/>
        <v>45201</v>
      </c>
      <c r="Q23" s="10">
        <f t="shared" si="2"/>
        <v>45199</v>
      </c>
      <c r="S23" s="10"/>
    </row>
    <row r="24" spans="1:19" ht="12.75" x14ac:dyDescent="0.2">
      <c r="A24" s="111" t="s">
        <v>514</v>
      </c>
      <c r="B24" s="112">
        <v>45199</v>
      </c>
      <c r="C24" s="111" t="s">
        <v>515</v>
      </c>
      <c r="D24" s="114">
        <v>1464.06</v>
      </c>
      <c r="E24">
        <v>29</v>
      </c>
      <c r="K24" s="2"/>
      <c r="L24" s="112">
        <v>45199</v>
      </c>
      <c r="M24" s="15">
        <f t="shared" si="0"/>
        <v>45201</v>
      </c>
      <c r="N24" s="112">
        <v>45201</v>
      </c>
      <c r="O24" s="2"/>
      <c r="P24" s="10">
        <f t="shared" si="1"/>
        <v>45201</v>
      </c>
      <c r="Q24" s="10">
        <f t="shared" si="2"/>
        <v>45199</v>
      </c>
      <c r="S24" s="10"/>
    </row>
    <row r="25" spans="1:19" ht="12.75" x14ac:dyDescent="0.2">
      <c r="A25" s="111" t="s">
        <v>516</v>
      </c>
      <c r="B25" s="112">
        <v>45199</v>
      </c>
      <c r="C25" s="111" t="s">
        <v>517</v>
      </c>
      <c r="D25" s="114">
        <v>1108.17</v>
      </c>
      <c r="E25">
        <v>29</v>
      </c>
      <c r="K25" s="2"/>
      <c r="L25" s="112">
        <v>45199</v>
      </c>
      <c r="M25" s="15">
        <f t="shared" si="0"/>
        <v>45201</v>
      </c>
      <c r="N25" s="112">
        <v>45201</v>
      </c>
      <c r="O25" s="2"/>
      <c r="P25" s="10">
        <f t="shared" si="1"/>
        <v>45201</v>
      </c>
      <c r="Q25" s="10">
        <f t="shared" si="2"/>
        <v>45199</v>
      </c>
      <c r="S25" s="10"/>
    </row>
    <row r="26" spans="1:19" ht="12.75" x14ac:dyDescent="0.2">
      <c r="A26" s="111" t="s">
        <v>518</v>
      </c>
      <c r="B26" s="112">
        <v>45197</v>
      </c>
      <c r="C26" s="111" t="s">
        <v>519</v>
      </c>
      <c r="D26" s="114">
        <v>1750</v>
      </c>
      <c r="E26">
        <v>29</v>
      </c>
      <c r="K26" s="2"/>
      <c r="L26" s="112">
        <v>45197</v>
      </c>
      <c r="M26" s="15">
        <f t="shared" si="0"/>
        <v>45215</v>
      </c>
      <c r="N26" s="112">
        <v>45215</v>
      </c>
      <c r="O26" s="2"/>
      <c r="P26" s="10">
        <f t="shared" si="1"/>
        <v>45215</v>
      </c>
      <c r="Q26" s="10">
        <f t="shared" si="2"/>
        <v>45197</v>
      </c>
      <c r="S26" s="10"/>
    </row>
    <row r="27" spans="1:19" ht="12.75" x14ac:dyDescent="0.2">
      <c r="A27" s="111" t="s">
        <v>520</v>
      </c>
      <c r="B27" s="112">
        <v>45197</v>
      </c>
      <c r="C27" s="111" t="s">
        <v>521</v>
      </c>
      <c r="D27" s="114">
        <v>4000.01</v>
      </c>
      <c r="E27">
        <v>29</v>
      </c>
      <c r="K27" s="2"/>
      <c r="L27" s="112">
        <v>45197</v>
      </c>
      <c r="M27" s="15">
        <f t="shared" si="0"/>
        <v>45215</v>
      </c>
      <c r="N27" s="112">
        <v>45215</v>
      </c>
      <c r="O27" s="2"/>
      <c r="P27" s="10">
        <f t="shared" si="1"/>
        <v>45215</v>
      </c>
      <c r="Q27" s="10">
        <f t="shared" si="2"/>
        <v>45197</v>
      </c>
      <c r="S27" s="10"/>
    </row>
    <row r="28" spans="1:19" ht="12.75" x14ac:dyDescent="0.2">
      <c r="A28" s="111" t="s">
        <v>522</v>
      </c>
      <c r="B28" s="112">
        <v>45197</v>
      </c>
      <c r="C28" s="111" t="s">
        <v>523</v>
      </c>
      <c r="D28" s="114">
        <v>52.73</v>
      </c>
      <c r="E28">
        <v>29</v>
      </c>
      <c r="K28" s="2"/>
      <c r="L28" s="112">
        <v>45197</v>
      </c>
      <c r="M28" s="15">
        <f t="shared" si="0"/>
        <v>45200</v>
      </c>
      <c r="N28" s="112">
        <v>45200</v>
      </c>
      <c r="O28" s="2"/>
      <c r="P28" s="10">
        <f t="shared" si="1"/>
        <v>45200</v>
      </c>
      <c r="Q28" s="10">
        <f t="shared" si="2"/>
        <v>45197</v>
      </c>
      <c r="S28" s="10"/>
    </row>
    <row r="29" spans="1:19" ht="12.75" x14ac:dyDescent="0.2">
      <c r="A29" s="111" t="s">
        <v>524</v>
      </c>
      <c r="B29" s="112">
        <v>45184</v>
      </c>
      <c r="C29" s="111" t="s">
        <v>525</v>
      </c>
      <c r="D29" s="114">
        <v>217.8</v>
      </c>
      <c r="E29">
        <v>29</v>
      </c>
      <c r="K29" s="2"/>
      <c r="L29" s="112">
        <v>45184</v>
      </c>
      <c r="M29" s="15">
        <f t="shared" si="0"/>
        <v>45215</v>
      </c>
      <c r="N29" s="112">
        <v>45215</v>
      </c>
      <c r="O29" s="2"/>
      <c r="P29" s="10">
        <f t="shared" si="1"/>
        <v>45215</v>
      </c>
      <c r="Q29" s="10">
        <f t="shared" si="2"/>
        <v>45184</v>
      </c>
      <c r="S29" s="10"/>
    </row>
    <row r="30" spans="1:19" ht="12.75" x14ac:dyDescent="0.2">
      <c r="A30" s="111" t="s">
        <v>526</v>
      </c>
      <c r="B30" s="112">
        <v>45199</v>
      </c>
      <c r="C30" s="111" t="s">
        <v>527</v>
      </c>
      <c r="D30" s="114">
        <v>185.82</v>
      </c>
      <c r="E30">
        <v>29</v>
      </c>
      <c r="K30" s="2"/>
      <c r="L30" s="112">
        <v>45199</v>
      </c>
      <c r="M30" s="15">
        <f t="shared" si="0"/>
        <v>45214</v>
      </c>
      <c r="N30" s="112">
        <v>45214</v>
      </c>
      <c r="O30" s="2"/>
      <c r="P30" s="10">
        <f t="shared" si="1"/>
        <v>45214</v>
      </c>
      <c r="Q30" s="10">
        <f t="shared" si="2"/>
        <v>45199</v>
      </c>
      <c r="S30" s="10"/>
    </row>
    <row r="31" spans="1:19" ht="12.75" x14ac:dyDescent="0.2">
      <c r="A31" s="111" t="s">
        <v>528</v>
      </c>
      <c r="B31" s="112">
        <v>45198</v>
      </c>
      <c r="C31" s="111" t="s">
        <v>529</v>
      </c>
      <c r="D31" s="114">
        <v>895.4</v>
      </c>
      <c r="E31">
        <v>29</v>
      </c>
      <c r="K31" s="2"/>
      <c r="L31" s="112">
        <v>45198</v>
      </c>
      <c r="M31" s="15">
        <f t="shared" si="0"/>
        <v>45215</v>
      </c>
      <c r="N31" s="112">
        <v>45215</v>
      </c>
      <c r="O31" s="2"/>
      <c r="P31" s="10">
        <f t="shared" si="1"/>
        <v>45215</v>
      </c>
      <c r="Q31" s="10">
        <f t="shared" si="2"/>
        <v>45198</v>
      </c>
      <c r="S31" s="10"/>
    </row>
    <row r="32" spans="1:19" ht="12.75" x14ac:dyDescent="0.2">
      <c r="A32" s="111" t="s">
        <v>530</v>
      </c>
      <c r="B32" s="112">
        <v>45197</v>
      </c>
      <c r="C32" s="111" t="s">
        <v>531</v>
      </c>
      <c r="D32" s="114">
        <v>138</v>
      </c>
      <c r="E32">
        <v>29</v>
      </c>
      <c r="K32" s="2"/>
      <c r="L32" s="112">
        <v>45197</v>
      </c>
      <c r="M32" s="15">
        <f t="shared" si="0"/>
        <v>45214</v>
      </c>
      <c r="N32" s="112">
        <v>45214</v>
      </c>
      <c r="O32" s="2"/>
      <c r="P32" s="10">
        <f t="shared" si="1"/>
        <v>45214</v>
      </c>
      <c r="Q32" s="10">
        <f t="shared" si="2"/>
        <v>45197</v>
      </c>
      <c r="S32" s="10"/>
    </row>
    <row r="33" spans="1:19" ht="12.75" x14ac:dyDescent="0.2">
      <c r="A33" s="111" t="s">
        <v>532</v>
      </c>
      <c r="B33" s="112">
        <v>45197</v>
      </c>
      <c r="C33" s="111" t="s">
        <v>533</v>
      </c>
      <c r="D33" s="114">
        <v>322.63</v>
      </c>
      <c r="E33">
        <v>29</v>
      </c>
      <c r="K33" s="2"/>
      <c r="L33" s="112">
        <v>45197</v>
      </c>
      <c r="M33" s="15">
        <f t="shared" si="0"/>
        <v>45214</v>
      </c>
      <c r="N33" s="112">
        <v>45214</v>
      </c>
      <c r="O33" s="2"/>
      <c r="P33" s="10">
        <f t="shared" si="1"/>
        <v>45214</v>
      </c>
      <c r="Q33" s="10">
        <f t="shared" si="2"/>
        <v>45197</v>
      </c>
      <c r="S33" s="10"/>
    </row>
    <row r="34" spans="1:19" ht="12.75" x14ac:dyDescent="0.2">
      <c r="A34" s="111" t="s">
        <v>534</v>
      </c>
      <c r="B34" s="112">
        <v>45198</v>
      </c>
      <c r="C34" s="111" t="s">
        <v>309</v>
      </c>
      <c r="D34" s="114">
        <v>544.5</v>
      </c>
      <c r="E34">
        <v>29</v>
      </c>
      <c r="K34" s="2"/>
      <c r="L34" s="112">
        <v>45198</v>
      </c>
      <c r="M34" s="15">
        <f t="shared" si="0"/>
        <v>45215</v>
      </c>
      <c r="N34" s="112">
        <v>45215</v>
      </c>
      <c r="O34" s="2"/>
      <c r="P34" s="10">
        <f t="shared" si="1"/>
        <v>45215</v>
      </c>
      <c r="Q34" s="10">
        <f t="shared" si="2"/>
        <v>45198</v>
      </c>
      <c r="S34" s="10"/>
    </row>
    <row r="35" spans="1:19" ht="12.75" x14ac:dyDescent="0.2">
      <c r="A35" s="111" t="s">
        <v>535</v>
      </c>
      <c r="B35" s="112">
        <v>45197</v>
      </c>
      <c r="C35" s="111" t="s">
        <v>536</v>
      </c>
      <c r="D35" s="114">
        <v>1110.95</v>
      </c>
      <c r="E35">
        <v>29</v>
      </c>
      <c r="K35" s="2"/>
      <c r="L35" s="112">
        <v>45197</v>
      </c>
      <c r="M35" s="15">
        <f t="shared" si="0"/>
        <v>45214</v>
      </c>
      <c r="N35" s="112">
        <v>45214</v>
      </c>
      <c r="O35" s="2"/>
      <c r="P35" s="10">
        <f t="shared" si="1"/>
        <v>45214</v>
      </c>
      <c r="Q35" s="10">
        <f t="shared" si="2"/>
        <v>45197</v>
      </c>
      <c r="S35" s="10"/>
    </row>
    <row r="36" spans="1:19" ht="12.75" x14ac:dyDescent="0.2">
      <c r="A36" s="111" t="s">
        <v>537</v>
      </c>
      <c r="B36" s="112">
        <v>45197</v>
      </c>
      <c r="C36" s="111" t="s">
        <v>538</v>
      </c>
      <c r="D36" s="114">
        <v>13.66</v>
      </c>
      <c r="E36">
        <v>29</v>
      </c>
      <c r="K36" s="2"/>
      <c r="L36" s="112">
        <v>45197</v>
      </c>
      <c r="M36" s="15">
        <f t="shared" si="0"/>
        <v>45214</v>
      </c>
      <c r="N36" s="112">
        <v>45214</v>
      </c>
      <c r="O36" s="2"/>
      <c r="P36" s="10">
        <f t="shared" si="1"/>
        <v>45214</v>
      </c>
      <c r="Q36" s="10">
        <f t="shared" si="2"/>
        <v>45197</v>
      </c>
      <c r="S36" s="10"/>
    </row>
    <row r="37" spans="1:19" ht="12.75" x14ac:dyDescent="0.2">
      <c r="A37" s="111" t="s">
        <v>539</v>
      </c>
      <c r="B37" s="112">
        <v>45197</v>
      </c>
      <c r="C37" s="111" t="s">
        <v>540</v>
      </c>
      <c r="D37" s="114">
        <v>25.43</v>
      </c>
      <c r="E37">
        <v>29</v>
      </c>
      <c r="K37" s="2"/>
      <c r="L37" s="112">
        <v>45197</v>
      </c>
      <c r="M37" s="15">
        <f t="shared" si="0"/>
        <v>45214</v>
      </c>
      <c r="N37" s="112">
        <v>45214</v>
      </c>
      <c r="O37" s="2"/>
      <c r="P37" s="10">
        <f t="shared" si="1"/>
        <v>45214</v>
      </c>
      <c r="Q37" s="10">
        <f t="shared" si="2"/>
        <v>45197</v>
      </c>
      <c r="S37" s="10"/>
    </row>
    <row r="38" spans="1:19" ht="12.75" x14ac:dyDescent="0.2">
      <c r="A38" s="111" t="s">
        <v>541</v>
      </c>
      <c r="B38" s="112">
        <v>45197</v>
      </c>
      <c r="C38" s="111" t="s">
        <v>542</v>
      </c>
      <c r="D38" s="114">
        <v>432.08</v>
      </c>
      <c r="E38">
        <v>29</v>
      </c>
      <c r="K38" s="2"/>
      <c r="L38" s="112">
        <v>45197</v>
      </c>
      <c r="M38" s="15">
        <f t="shared" si="0"/>
        <v>45214</v>
      </c>
      <c r="N38" s="112">
        <v>45214</v>
      </c>
      <c r="O38" s="2"/>
      <c r="P38" s="10">
        <f>+M38-$Q$2</f>
        <v>45214</v>
      </c>
      <c r="Q38" s="10">
        <f t="shared" si="2"/>
        <v>45197</v>
      </c>
      <c r="S38" s="10"/>
    </row>
    <row r="39" spans="1:19" ht="12.75" x14ac:dyDescent="0.2">
      <c r="A39" s="111" t="s">
        <v>543</v>
      </c>
      <c r="B39" s="112">
        <v>45197</v>
      </c>
      <c r="C39" s="111" t="s">
        <v>544</v>
      </c>
      <c r="D39" s="114">
        <v>335.38</v>
      </c>
      <c r="E39">
        <v>29</v>
      </c>
      <c r="K39" s="2"/>
      <c r="L39" s="112">
        <v>45197</v>
      </c>
      <c r="M39" s="15">
        <f t="shared" si="0"/>
        <v>45214</v>
      </c>
      <c r="N39" s="112">
        <v>45214</v>
      </c>
      <c r="O39" s="2"/>
      <c r="P39" s="10">
        <f t="shared" si="1"/>
        <v>45214</v>
      </c>
      <c r="Q39" s="10">
        <f t="shared" si="2"/>
        <v>45197</v>
      </c>
      <c r="S39" s="10"/>
    </row>
    <row r="40" spans="1:19" ht="12.75" x14ac:dyDescent="0.2">
      <c r="A40" s="111" t="s">
        <v>545</v>
      </c>
      <c r="B40" s="112">
        <v>45197</v>
      </c>
      <c r="C40" s="111" t="s">
        <v>546</v>
      </c>
      <c r="D40" s="114">
        <v>21.97</v>
      </c>
      <c r="E40">
        <v>29</v>
      </c>
      <c r="K40" s="2"/>
      <c r="L40" s="112">
        <v>45197</v>
      </c>
      <c r="M40" s="15">
        <f t="shared" si="0"/>
        <v>45214</v>
      </c>
      <c r="N40" s="112">
        <v>45214</v>
      </c>
      <c r="O40" s="2"/>
      <c r="P40" s="10">
        <f t="shared" si="1"/>
        <v>45214</v>
      </c>
      <c r="Q40" s="10">
        <f t="shared" si="2"/>
        <v>45197</v>
      </c>
      <c r="S40" s="10"/>
    </row>
    <row r="41" spans="1:19" ht="12.75" x14ac:dyDescent="0.2">
      <c r="A41" s="111" t="s">
        <v>547</v>
      </c>
      <c r="B41" s="112">
        <v>45197</v>
      </c>
      <c r="C41" s="111" t="s">
        <v>548</v>
      </c>
      <c r="D41" s="114">
        <v>14.07</v>
      </c>
      <c r="E41">
        <v>29</v>
      </c>
      <c r="K41" s="2"/>
      <c r="L41" s="112">
        <v>45197</v>
      </c>
      <c r="M41" s="15">
        <f t="shared" si="0"/>
        <v>45214</v>
      </c>
      <c r="N41" s="112">
        <v>45214</v>
      </c>
      <c r="O41" s="2"/>
      <c r="P41" s="10">
        <f t="shared" si="1"/>
        <v>45214</v>
      </c>
      <c r="Q41" s="10">
        <f t="shared" si="2"/>
        <v>45197</v>
      </c>
      <c r="S41" s="10"/>
    </row>
    <row r="42" spans="1:19" ht="12.75" x14ac:dyDescent="0.2">
      <c r="A42" s="111" t="s">
        <v>549</v>
      </c>
      <c r="B42" s="112">
        <v>45197</v>
      </c>
      <c r="C42" s="111" t="s">
        <v>550</v>
      </c>
      <c r="D42" s="114">
        <v>27.62</v>
      </c>
      <c r="E42">
        <v>29</v>
      </c>
      <c r="K42" s="2"/>
      <c r="L42" s="112">
        <v>45197</v>
      </c>
      <c r="M42" s="15">
        <f t="shared" si="0"/>
        <v>45214</v>
      </c>
      <c r="N42" s="112">
        <v>45214</v>
      </c>
      <c r="O42" s="2"/>
      <c r="P42" s="10">
        <f t="shared" si="1"/>
        <v>45214</v>
      </c>
      <c r="Q42" s="10">
        <f t="shared" si="2"/>
        <v>45197</v>
      </c>
      <c r="S42" s="10"/>
    </row>
    <row r="43" spans="1:19" ht="12.75" x14ac:dyDescent="0.2">
      <c r="A43" s="111" t="s">
        <v>551</v>
      </c>
      <c r="B43" s="112">
        <v>45197</v>
      </c>
      <c r="C43" s="111" t="s">
        <v>552</v>
      </c>
      <c r="D43" s="114">
        <v>11.01</v>
      </c>
      <c r="E43">
        <v>29</v>
      </c>
      <c r="K43" s="2"/>
      <c r="L43" s="112">
        <v>45197</v>
      </c>
      <c r="M43" s="15">
        <f t="shared" si="0"/>
        <v>45214</v>
      </c>
      <c r="N43" s="112">
        <v>45214</v>
      </c>
      <c r="O43" s="2"/>
      <c r="P43" s="10">
        <f t="shared" si="1"/>
        <v>45214</v>
      </c>
      <c r="Q43" s="10">
        <f t="shared" si="2"/>
        <v>45197</v>
      </c>
      <c r="S43" s="10"/>
    </row>
    <row r="44" spans="1:19" ht="12.75" x14ac:dyDescent="0.2">
      <c r="A44" s="111" t="s">
        <v>553</v>
      </c>
      <c r="B44" s="112">
        <v>45197</v>
      </c>
      <c r="C44" s="111" t="s">
        <v>554</v>
      </c>
      <c r="D44" s="114">
        <v>35.5</v>
      </c>
      <c r="E44">
        <v>29</v>
      </c>
      <c r="K44" s="2"/>
      <c r="L44" s="112">
        <v>45197</v>
      </c>
      <c r="M44" s="15">
        <f t="shared" si="0"/>
        <v>45214</v>
      </c>
      <c r="N44" s="112">
        <v>45214</v>
      </c>
      <c r="O44" s="2"/>
      <c r="P44" s="10">
        <f t="shared" si="1"/>
        <v>45214</v>
      </c>
      <c r="Q44" s="10">
        <f t="shared" si="2"/>
        <v>45197</v>
      </c>
      <c r="S44" s="10"/>
    </row>
    <row r="45" spans="1:19" ht="12.75" x14ac:dyDescent="0.2">
      <c r="A45" s="111" t="s">
        <v>555</v>
      </c>
      <c r="B45" s="112">
        <v>45197</v>
      </c>
      <c r="C45" s="111" t="s">
        <v>556</v>
      </c>
      <c r="D45" s="114">
        <v>21.63</v>
      </c>
      <c r="E45">
        <v>29</v>
      </c>
      <c r="K45" s="2"/>
      <c r="L45" s="112">
        <v>45197</v>
      </c>
      <c r="M45" s="15">
        <f t="shared" si="0"/>
        <v>45214</v>
      </c>
      <c r="N45" s="112">
        <v>45214</v>
      </c>
      <c r="O45" s="2"/>
      <c r="P45" s="10">
        <f t="shared" si="1"/>
        <v>45214</v>
      </c>
      <c r="Q45" s="10">
        <f t="shared" si="2"/>
        <v>45197</v>
      </c>
      <c r="S45" s="10"/>
    </row>
    <row r="46" spans="1:19" ht="12.75" x14ac:dyDescent="0.2">
      <c r="A46" s="111" t="s">
        <v>557</v>
      </c>
      <c r="B46" s="112">
        <v>45197</v>
      </c>
      <c r="C46" s="111" t="s">
        <v>558</v>
      </c>
      <c r="D46" s="114">
        <v>29.75</v>
      </c>
      <c r="E46">
        <v>29</v>
      </c>
      <c r="K46" s="2"/>
      <c r="L46" s="112">
        <v>45197</v>
      </c>
      <c r="M46" s="15">
        <f t="shared" si="0"/>
        <v>45214</v>
      </c>
      <c r="N46" s="112">
        <v>45214</v>
      </c>
      <c r="O46" s="2"/>
      <c r="P46" s="10">
        <f t="shared" si="1"/>
        <v>45214</v>
      </c>
      <c r="Q46" s="10">
        <f t="shared" si="2"/>
        <v>45197</v>
      </c>
      <c r="S46" s="10"/>
    </row>
    <row r="47" spans="1:19" ht="12.75" x14ac:dyDescent="0.2">
      <c r="A47" s="111" t="s">
        <v>559</v>
      </c>
      <c r="B47" s="112">
        <v>45196</v>
      </c>
      <c r="C47" s="111" t="s">
        <v>560</v>
      </c>
      <c r="D47" s="182">
        <v>50</v>
      </c>
      <c r="E47">
        <v>29</v>
      </c>
      <c r="K47" s="2"/>
      <c r="L47" s="112">
        <v>45196</v>
      </c>
      <c r="M47" s="15">
        <f t="shared" si="0"/>
        <v>45215</v>
      </c>
      <c r="N47" s="112">
        <v>45215</v>
      </c>
      <c r="O47" s="2"/>
      <c r="P47" s="10">
        <f t="shared" si="1"/>
        <v>45215</v>
      </c>
      <c r="Q47" s="10">
        <f t="shared" si="2"/>
        <v>45196</v>
      </c>
      <c r="S47" s="10"/>
    </row>
    <row r="48" spans="1:19" x14ac:dyDescent="0.2">
      <c r="D48" s="8">
        <f>SUM(D8:D47)</f>
        <v>18040.66</v>
      </c>
    </row>
    <row r="52" spans="4:6" x14ac:dyDescent="0.2">
      <c r="D52" s="8">
        <f>SUM(D8:D11)</f>
        <v>1409.99</v>
      </c>
      <c r="E52" s="2">
        <v>21</v>
      </c>
      <c r="F52" s="2">
        <v>4</v>
      </c>
    </row>
    <row r="53" spans="4:6" x14ac:dyDescent="0.2">
      <c r="D53" s="8">
        <f>SUM(D12:D16)</f>
        <v>1191.73</v>
      </c>
      <c r="E53" s="2">
        <v>22</v>
      </c>
      <c r="F53" s="2">
        <v>5</v>
      </c>
    </row>
    <row r="54" spans="4:6" x14ac:dyDescent="0.2">
      <c r="D54" s="183">
        <f>SUM(D17:D47)</f>
        <v>15438.939999999997</v>
      </c>
      <c r="E54" s="2">
        <v>29</v>
      </c>
      <c r="F54" s="184">
        <v>31</v>
      </c>
    </row>
    <row r="55" spans="4:6" x14ac:dyDescent="0.2">
      <c r="D55" s="8">
        <f>SUM(D52:D54)</f>
        <v>18040.659999999996</v>
      </c>
      <c r="F55" s="2">
        <f>SUM(F52:F54)</f>
        <v>40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V56"/>
  <sheetViews>
    <sheetView zoomScaleNormal="100" workbookViewId="0">
      <pane ySplit="7" topLeftCell="A8" activePane="bottomLeft" state="frozen"/>
      <selection pane="bottomLeft" activeCell="P2" sqref="P2"/>
    </sheetView>
  </sheetViews>
  <sheetFormatPr defaultRowHeight="11.25" x14ac:dyDescent="0.2"/>
  <cols>
    <col min="1" max="1" width="16.7109375" style="2" customWidth="1"/>
    <col min="2" max="2" width="10.140625" style="15" bestFit="1" customWidth="1"/>
    <col min="3" max="3" width="9.140625" style="2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0.7109375" style="15" bestFit="1" customWidth="1"/>
    <col min="12" max="12" width="9.140625" style="15"/>
    <col min="13" max="14" width="10.14062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2" x14ac:dyDescent="0.2">
      <c r="A1" s="3" t="s">
        <v>90</v>
      </c>
      <c r="B1" s="17"/>
      <c r="C1" s="4"/>
      <c r="D1" s="7"/>
      <c r="E1" s="4"/>
      <c r="F1" s="4"/>
      <c r="G1" s="4"/>
      <c r="K1" s="2"/>
      <c r="O1" s="10" t="s">
        <v>89</v>
      </c>
      <c r="P1" s="104">
        <v>45199</v>
      </c>
    </row>
    <row r="2" spans="1:22" x14ac:dyDescent="0.2">
      <c r="A2" s="3"/>
      <c r="B2" s="17"/>
      <c r="C2" s="4"/>
      <c r="D2" s="7"/>
      <c r="E2" s="4"/>
      <c r="F2" s="4"/>
      <c r="G2" s="4"/>
      <c r="I2" s="4"/>
      <c r="J2" s="4"/>
      <c r="K2" s="4"/>
      <c r="O2" s="15"/>
    </row>
    <row r="3" spans="1:22" x14ac:dyDescent="0.2">
      <c r="A3" s="3"/>
      <c r="B3" s="17"/>
      <c r="C3" s="4"/>
      <c r="D3" s="7"/>
      <c r="E3" s="4"/>
      <c r="F3" s="4"/>
      <c r="G3" s="4"/>
      <c r="K3" s="2"/>
      <c r="O3" s="15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P4" s="15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P5" s="15"/>
    </row>
    <row r="7" spans="1:22" ht="38.25" customHeight="1" x14ac:dyDescent="0.2">
      <c r="A7" s="5" t="s">
        <v>70</v>
      </c>
      <c r="B7" s="18" t="s">
        <v>71</v>
      </c>
      <c r="C7" s="6" t="s">
        <v>72</v>
      </c>
      <c r="D7" s="9" t="s">
        <v>57</v>
      </c>
      <c r="E7" s="5" t="s">
        <v>73</v>
      </c>
      <c r="F7" s="6" t="s">
        <v>74</v>
      </c>
      <c r="G7" s="6" t="s">
        <v>75</v>
      </c>
      <c r="H7" s="6" t="s">
        <v>8</v>
      </c>
      <c r="I7" s="6" t="s">
        <v>9</v>
      </c>
      <c r="J7" s="6" t="s">
        <v>7</v>
      </c>
      <c r="K7" s="16" t="s">
        <v>76</v>
      </c>
      <c r="L7" s="16" t="s">
        <v>77</v>
      </c>
      <c r="M7" s="16" t="s">
        <v>78</v>
      </c>
      <c r="N7" s="16" t="s">
        <v>79</v>
      </c>
      <c r="O7" s="12" t="s">
        <v>88</v>
      </c>
      <c r="P7" s="14" t="s">
        <v>56</v>
      </c>
      <c r="Q7" s="2" t="s">
        <v>10</v>
      </c>
      <c r="R7" s="8" t="s">
        <v>84</v>
      </c>
      <c r="S7" s="8" t="s">
        <v>85</v>
      </c>
      <c r="T7" s="2" t="s">
        <v>86</v>
      </c>
    </row>
    <row r="8" spans="1:22" customFormat="1" ht="12.75" x14ac:dyDescent="0.2">
      <c r="A8" s="111"/>
      <c r="B8" s="112"/>
      <c r="C8" s="111"/>
      <c r="D8" s="114"/>
      <c r="K8" s="112"/>
      <c r="L8" s="113"/>
      <c r="M8" s="113"/>
      <c r="N8" s="112"/>
      <c r="O8" s="115"/>
      <c r="P8" s="115"/>
      <c r="Q8" s="115"/>
      <c r="R8" s="115"/>
      <c r="T8" s="114"/>
      <c r="U8" s="114"/>
      <c r="V8" s="103"/>
    </row>
    <row r="9" spans="1:22" ht="12.75" x14ac:dyDescent="0.2">
      <c r="A9" s="111"/>
      <c r="B9" s="112"/>
      <c r="C9" s="111"/>
      <c r="D9"/>
      <c r="K9" s="112"/>
      <c r="N9" s="112"/>
      <c r="Q9" s="10"/>
      <c r="R9" s="10"/>
      <c r="S9"/>
      <c r="T9" s="8"/>
      <c r="U9" s="8"/>
      <c r="V9" s="103"/>
    </row>
    <row r="10" spans="1:22" ht="12.75" x14ac:dyDescent="0.2">
      <c r="A10" s="111"/>
      <c r="B10" s="112"/>
      <c r="C10" s="111"/>
      <c r="D10"/>
      <c r="K10" s="112"/>
      <c r="N10" s="112"/>
      <c r="Q10" s="10"/>
      <c r="R10" s="10"/>
      <c r="S10"/>
      <c r="T10" s="8"/>
      <c r="U10" s="8"/>
      <c r="V10" s="103"/>
    </row>
    <row r="11" spans="1:22" ht="12.75" x14ac:dyDescent="0.2">
      <c r="A11" s="111"/>
      <c r="B11" s="112"/>
      <c r="C11" s="111"/>
      <c r="D11"/>
      <c r="K11" s="112"/>
      <c r="N11" s="112"/>
      <c r="Q11" s="10"/>
      <c r="R11" s="10"/>
      <c r="S11"/>
      <c r="T11" s="8"/>
      <c r="U11" s="8"/>
      <c r="V11" s="103"/>
    </row>
    <row r="12" spans="1:22" ht="12.75" x14ac:dyDescent="0.2">
      <c r="A12" s="111"/>
      <c r="B12" s="112"/>
      <c r="C12" s="111"/>
      <c r="D12"/>
      <c r="K12" s="112"/>
      <c r="N12" s="112"/>
      <c r="Q12" s="10"/>
      <c r="R12" s="10"/>
      <c r="S12"/>
      <c r="T12" s="8"/>
      <c r="U12" s="8"/>
      <c r="V12" s="103"/>
    </row>
    <row r="13" spans="1:22" ht="12.75" x14ac:dyDescent="0.2">
      <c r="A13" s="111"/>
      <c r="B13" s="112"/>
      <c r="C13" s="111"/>
      <c r="D13"/>
      <c r="K13" s="112"/>
      <c r="N13" s="112"/>
      <c r="Q13" s="10"/>
      <c r="R13" s="10"/>
      <c r="S13"/>
      <c r="T13" s="8"/>
      <c r="U13" s="8"/>
      <c r="V13" s="103"/>
    </row>
    <row r="14" spans="1:22" ht="12.75" x14ac:dyDescent="0.2">
      <c r="A14" s="111"/>
      <c r="B14" s="112"/>
      <c r="C14" s="111"/>
      <c r="D14"/>
      <c r="K14" s="112"/>
      <c r="N14" s="112"/>
      <c r="Q14" s="10"/>
      <c r="R14" s="10"/>
      <c r="S14" s="2"/>
      <c r="T14" s="8"/>
      <c r="U14" s="8"/>
      <c r="V14" s="103"/>
    </row>
    <row r="15" spans="1:22" ht="12.75" x14ac:dyDescent="0.2">
      <c r="A15" s="111"/>
      <c r="B15" s="112"/>
      <c r="C15" s="111"/>
      <c r="D15"/>
      <c r="K15" s="112"/>
      <c r="N15" s="112"/>
      <c r="Q15" s="10"/>
      <c r="R15" s="10"/>
      <c r="S15" s="2"/>
      <c r="T15" s="8"/>
      <c r="U15" s="8"/>
      <c r="V15" s="103"/>
    </row>
    <row r="16" spans="1:22" ht="12.75" x14ac:dyDescent="0.2">
      <c r="A16" s="111"/>
      <c r="B16" s="112"/>
      <c r="C16" s="111"/>
      <c r="D16"/>
      <c r="K16" s="112"/>
      <c r="N16" s="112"/>
      <c r="Q16" s="10"/>
      <c r="R16" s="10"/>
      <c r="S16" s="2"/>
      <c r="T16" s="8"/>
      <c r="U16" s="8"/>
      <c r="V16" s="103"/>
    </row>
    <row r="17" spans="1:22" ht="12.75" x14ac:dyDescent="0.2">
      <c r="A17" s="111"/>
      <c r="B17" s="112"/>
      <c r="C17" s="111"/>
      <c r="D17"/>
      <c r="K17" s="112"/>
      <c r="N17" s="112"/>
      <c r="Q17" s="10"/>
      <c r="R17" s="10"/>
      <c r="S17" s="2"/>
      <c r="T17" s="8"/>
      <c r="U17" s="8"/>
      <c r="V17" s="103"/>
    </row>
    <row r="18" spans="1:22" ht="12.75" x14ac:dyDescent="0.2">
      <c r="A18" s="111"/>
      <c r="B18" s="112"/>
      <c r="C18" s="111"/>
      <c r="D18"/>
      <c r="K18" s="112"/>
      <c r="N18" s="112"/>
      <c r="Q18" s="10"/>
      <c r="R18" s="10"/>
      <c r="S18" s="2"/>
      <c r="T18" s="8"/>
      <c r="U18" s="8"/>
      <c r="V18" s="103"/>
    </row>
    <row r="19" spans="1:22" ht="12.75" x14ac:dyDescent="0.2">
      <c r="A19" s="111"/>
      <c r="B19" s="112"/>
      <c r="C19" s="111"/>
      <c r="D19"/>
      <c r="K19" s="112"/>
      <c r="N19" s="112"/>
      <c r="Q19" s="10"/>
      <c r="R19" s="10"/>
      <c r="S19" s="2"/>
      <c r="T19" s="8"/>
      <c r="U19" s="8"/>
      <c r="V19" s="103"/>
    </row>
    <row r="20" spans="1:22" ht="12.75" x14ac:dyDescent="0.2">
      <c r="A20" s="111"/>
      <c r="B20" s="112"/>
      <c r="C20" s="111"/>
      <c r="D20"/>
      <c r="K20" s="112"/>
      <c r="N20" s="112"/>
      <c r="Q20" s="10"/>
      <c r="R20" s="10"/>
      <c r="S20" s="2"/>
      <c r="T20" s="8"/>
      <c r="U20" s="8"/>
      <c r="V20" s="103"/>
    </row>
    <row r="21" spans="1:22" ht="12.75" x14ac:dyDescent="0.2">
      <c r="A21" s="111"/>
      <c r="B21" s="112"/>
      <c r="C21" s="111"/>
      <c r="D21"/>
      <c r="K21" s="112"/>
      <c r="N21" s="112"/>
      <c r="Q21" s="10"/>
      <c r="R21" s="10"/>
      <c r="S21" s="2"/>
      <c r="T21" s="8"/>
      <c r="U21" s="8"/>
      <c r="V21" s="103"/>
    </row>
    <row r="22" spans="1:22" ht="12.75" x14ac:dyDescent="0.2">
      <c r="A22" s="111"/>
      <c r="B22" s="112"/>
      <c r="C22" s="111"/>
      <c r="D22"/>
      <c r="K22" s="112"/>
      <c r="N22" s="112"/>
      <c r="Q22" s="10"/>
      <c r="R22" s="10"/>
      <c r="S22" s="2"/>
      <c r="T22" s="8"/>
      <c r="U22" s="8"/>
      <c r="V22" s="103"/>
    </row>
    <row r="23" spans="1:22" ht="12.75" x14ac:dyDescent="0.2">
      <c r="A23" s="111"/>
      <c r="B23" s="112"/>
      <c r="C23" s="111"/>
      <c r="D23"/>
      <c r="K23" s="112"/>
      <c r="N23" s="112"/>
      <c r="Q23" s="10"/>
      <c r="R23" s="10"/>
      <c r="S23" s="2"/>
      <c r="T23" s="8"/>
      <c r="U23" s="8"/>
      <c r="V23" s="103"/>
    </row>
    <row r="24" spans="1:22" ht="12.75" x14ac:dyDescent="0.2">
      <c r="A24" s="111"/>
      <c r="B24" s="112"/>
      <c r="C24" s="111"/>
      <c r="D24"/>
      <c r="K24" s="112"/>
      <c r="N24" s="112"/>
      <c r="Q24" s="10"/>
      <c r="R24" s="10"/>
      <c r="S24" s="2"/>
      <c r="T24" s="8"/>
      <c r="U24" s="8"/>
      <c r="V24" s="103"/>
    </row>
    <row r="25" spans="1:22" ht="12.75" x14ac:dyDescent="0.2">
      <c r="A25" s="111"/>
      <c r="B25" s="112"/>
      <c r="C25" s="111"/>
      <c r="D25"/>
      <c r="K25" s="112"/>
      <c r="N25" s="112"/>
      <c r="Q25" s="10"/>
      <c r="R25" s="10"/>
      <c r="S25" s="2"/>
      <c r="T25" s="8"/>
      <c r="U25" s="8"/>
      <c r="V25" s="103"/>
    </row>
    <row r="26" spans="1:22" ht="12.75" x14ac:dyDescent="0.2">
      <c r="A26" s="111"/>
      <c r="B26" s="112"/>
      <c r="C26" s="111"/>
      <c r="D26"/>
      <c r="K26" s="112"/>
      <c r="N26" s="112"/>
      <c r="Q26" s="10"/>
      <c r="R26" s="10"/>
      <c r="S26" s="2"/>
      <c r="T26" s="8"/>
      <c r="U26" s="8"/>
      <c r="V26" s="103"/>
    </row>
    <row r="27" spans="1:22" ht="12.75" x14ac:dyDescent="0.2">
      <c r="A27" s="111"/>
      <c r="B27" s="112"/>
      <c r="C27" s="111"/>
      <c r="D27"/>
      <c r="K27" s="112"/>
      <c r="N27" s="112"/>
      <c r="Q27" s="10"/>
      <c r="R27" s="10"/>
      <c r="S27" s="2"/>
      <c r="T27" s="8"/>
      <c r="U27" s="8"/>
      <c r="V27" s="103"/>
    </row>
    <row r="28" spans="1:22" ht="12.75" x14ac:dyDescent="0.2">
      <c r="A28" s="111"/>
      <c r="B28" s="112"/>
      <c r="C28" s="111"/>
      <c r="D28"/>
      <c r="K28" s="112"/>
      <c r="N28" s="112"/>
      <c r="Q28" s="10"/>
      <c r="R28" s="10"/>
      <c r="S28" s="2"/>
      <c r="T28" s="8"/>
      <c r="U28" s="8"/>
      <c r="V28" s="103"/>
    </row>
    <row r="29" spans="1:22" ht="12.75" x14ac:dyDescent="0.2">
      <c r="A29" s="111"/>
      <c r="B29" s="112"/>
      <c r="C29" s="111"/>
      <c r="D29"/>
      <c r="K29" s="112"/>
      <c r="N29" s="112"/>
      <c r="Q29" s="10"/>
      <c r="R29" s="10"/>
      <c r="S29" s="2"/>
      <c r="T29" s="8"/>
      <c r="U29" s="8"/>
      <c r="V29" s="103"/>
    </row>
    <row r="30" spans="1:22" ht="12.75" x14ac:dyDescent="0.2">
      <c r="A30" s="111"/>
      <c r="B30" s="112"/>
      <c r="C30" s="111"/>
      <c r="D30"/>
      <c r="K30" s="112"/>
      <c r="N30" s="112"/>
      <c r="Q30" s="10"/>
      <c r="R30" s="10"/>
      <c r="S30" s="2"/>
      <c r="T30" s="8"/>
      <c r="U30" s="8"/>
      <c r="V30" s="103"/>
    </row>
    <row r="31" spans="1:22" ht="12.75" x14ac:dyDescent="0.2">
      <c r="A31" s="111"/>
      <c r="B31" s="112"/>
      <c r="C31" s="111"/>
      <c r="D31"/>
      <c r="K31" s="112"/>
      <c r="N31" s="112"/>
      <c r="Q31" s="10"/>
      <c r="R31" s="10"/>
      <c r="S31" s="2"/>
      <c r="T31" s="8"/>
      <c r="U31" s="8"/>
      <c r="V31" s="103"/>
    </row>
    <row r="32" spans="1:22" ht="12.75" x14ac:dyDescent="0.2">
      <c r="A32" s="111"/>
      <c r="B32" s="112"/>
      <c r="C32" s="111"/>
      <c r="D32"/>
      <c r="K32" s="112"/>
      <c r="N32" s="112"/>
      <c r="Q32" s="10"/>
      <c r="R32" s="10"/>
      <c r="S32" s="2"/>
      <c r="T32" s="8"/>
      <c r="U32" s="8"/>
      <c r="V32" s="103"/>
    </row>
    <row r="33" spans="1:22" ht="12.75" x14ac:dyDescent="0.2">
      <c r="A33" s="111"/>
      <c r="B33" s="112"/>
      <c r="C33" s="111"/>
      <c r="D33"/>
      <c r="K33" s="112"/>
      <c r="N33" s="112"/>
      <c r="Q33" s="10"/>
      <c r="R33" s="10"/>
      <c r="S33" s="2"/>
      <c r="T33" s="8"/>
      <c r="U33" s="8"/>
      <c r="V33" s="103"/>
    </row>
    <row r="34" spans="1:22" ht="12.75" x14ac:dyDescent="0.2">
      <c r="A34" s="111"/>
      <c r="B34" s="112"/>
      <c r="C34" s="111"/>
      <c r="D34"/>
      <c r="K34" s="112"/>
      <c r="N34" s="112"/>
      <c r="Q34" s="10"/>
      <c r="R34" s="10"/>
      <c r="S34" s="2"/>
      <c r="T34" s="8"/>
      <c r="U34" s="8"/>
      <c r="V34" s="103"/>
    </row>
    <row r="35" spans="1:22" ht="12.75" x14ac:dyDescent="0.2">
      <c r="A35" s="111"/>
      <c r="B35" s="112"/>
      <c r="C35" s="111"/>
      <c r="D35"/>
      <c r="K35" s="112"/>
      <c r="N35" s="112"/>
      <c r="Q35" s="10"/>
      <c r="R35" s="10"/>
      <c r="S35" s="2"/>
      <c r="T35" s="8"/>
      <c r="U35" s="8"/>
      <c r="V35" s="103"/>
    </row>
    <row r="36" spans="1:22" ht="15" x14ac:dyDescent="0.25">
      <c r="A36" s="111"/>
      <c r="B36" s="112"/>
      <c r="C36" s="111"/>
      <c r="D36"/>
      <c r="K36" s="112"/>
      <c r="M36" s="108"/>
      <c r="N36" s="112"/>
      <c r="Q36" s="10"/>
      <c r="R36" s="10"/>
      <c r="S36" s="2"/>
      <c r="T36" s="8"/>
      <c r="U36" s="8"/>
      <c r="V36" s="103"/>
    </row>
    <row r="37" spans="1:22" ht="15" x14ac:dyDescent="0.25">
      <c r="A37" s="111"/>
      <c r="B37" s="112"/>
      <c r="C37" s="111"/>
      <c r="D37"/>
      <c r="K37" s="112"/>
      <c r="M37" s="108"/>
      <c r="N37" s="112"/>
      <c r="Q37" s="10"/>
      <c r="R37" s="10"/>
      <c r="S37" s="2"/>
      <c r="T37" s="8"/>
      <c r="U37" s="8"/>
      <c r="V37" s="103"/>
    </row>
    <row r="38" spans="1:22" ht="15" x14ac:dyDescent="0.25">
      <c r="A38" s="111"/>
      <c r="B38" s="112"/>
      <c r="C38" s="111"/>
      <c r="D38"/>
      <c r="K38" s="112"/>
      <c r="M38" s="108"/>
      <c r="N38" s="112"/>
      <c r="Q38" s="10"/>
      <c r="R38" s="10"/>
      <c r="S38" s="2"/>
      <c r="T38" s="8"/>
      <c r="U38" s="8"/>
      <c r="V38" s="103"/>
    </row>
    <row r="39" spans="1:22" ht="15" x14ac:dyDescent="0.25">
      <c r="A39" s="111"/>
      <c r="B39" s="112"/>
      <c r="C39" s="111"/>
      <c r="D39"/>
      <c r="K39" s="112"/>
      <c r="M39" s="108"/>
      <c r="N39" s="112"/>
      <c r="Q39" s="10"/>
      <c r="R39" s="10"/>
      <c r="S39" s="2"/>
      <c r="T39" s="8"/>
      <c r="U39" s="8"/>
      <c r="V39" s="103"/>
    </row>
    <row r="40" spans="1:22" ht="15" x14ac:dyDescent="0.25">
      <c r="A40" s="111"/>
      <c r="B40" s="112"/>
      <c r="C40" s="111"/>
      <c r="D40"/>
      <c r="K40" s="112"/>
      <c r="M40" s="108"/>
      <c r="N40" s="112"/>
      <c r="Q40" s="10"/>
      <c r="R40" s="10"/>
      <c r="S40" s="2"/>
      <c r="T40" s="8"/>
      <c r="U40" s="8"/>
      <c r="V40" s="103"/>
    </row>
    <row r="41" spans="1:22" x14ac:dyDescent="0.2">
      <c r="Q41" s="10"/>
      <c r="R41" s="10"/>
      <c r="S41" s="2"/>
      <c r="T41" s="8"/>
      <c r="U41" s="8"/>
    </row>
    <row r="42" spans="1:22" x14ac:dyDescent="0.2">
      <c r="Q42" s="10"/>
      <c r="R42" s="10"/>
      <c r="S42" s="2"/>
      <c r="T42" s="8"/>
      <c r="U42" s="8"/>
    </row>
    <row r="43" spans="1:22" ht="15" x14ac:dyDescent="0.25">
      <c r="A43" s="105"/>
      <c r="B43" s="106"/>
      <c r="C43" s="105"/>
      <c r="D43" s="110"/>
      <c r="F43" s="105"/>
      <c r="K43" s="106"/>
      <c r="M43" s="108"/>
      <c r="N43" s="108"/>
      <c r="Q43" s="10"/>
      <c r="R43" s="10"/>
      <c r="S43" s="2"/>
      <c r="T43" s="8"/>
    </row>
    <row r="44" spans="1:22" ht="15" x14ac:dyDescent="0.25">
      <c r="A44" s="105"/>
      <c r="B44" s="106"/>
      <c r="C44" s="105"/>
      <c r="D44" s="110"/>
      <c r="F44" s="105"/>
      <c r="K44" s="106"/>
      <c r="M44" s="108"/>
      <c r="N44" s="108"/>
      <c r="Q44" s="10"/>
      <c r="R44" s="10"/>
      <c r="S44" s="2"/>
      <c r="T44" s="8"/>
      <c r="U44" s="8"/>
    </row>
    <row r="45" spans="1:22" ht="15" x14ac:dyDescent="0.25">
      <c r="A45" s="105"/>
      <c r="B45" s="106"/>
      <c r="C45" s="105"/>
      <c r="D45" s="110"/>
      <c r="F45" s="105"/>
      <c r="K45" s="106"/>
      <c r="M45" s="108"/>
      <c r="N45" s="108"/>
      <c r="Q45" s="10"/>
      <c r="R45" s="10"/>
      <c r="S45" s="2"/>
      <c r="T45" s="8"/>
      <c r="U45" s="8"/>
    </row>
    <row r="46" spans="1:22" ht="15" x14ac:dyDescent="0.25">
      <c r="A46" s="105"/>
      <c r="B46" s="106"/>
      <c r="C46" s="105"/>
      <c r="D46" s="110"/>
      <c r="F46" s="105"/>
      <c r="K46" s="106"/>
      <c r="M46" s="108"/>
      <c r="N46" s="106"/>
      <c r="Q46" s="10"/>
      <c r="R46" s="10"/>
      <c r="S46" s="2"/>
      <c r="T46" s="8"/>
      <c r="U46" s="8"/>
    </row>
    <row r="47" spans="1:22" ht="15" x14ac:dyDescent="0.25">
      <c r="A47" s="105"/>
      <c r="B47" s="106"/>
      <c r="C47" s="105"/>
      <c r="D47" s="107"/>
      <c r="F47" s="105"/>
      <c r="K47" s="106"/>
      <c r="M47" s="108"/>
      <c r="N47" s="106"/>
      <c r="Q47" s="10"/>
      <c r="R47" s="10"/>
      <c r="S47" s="2"/>
      <c r="T47" s="8"/>
      <c r="U47" s="8"/>
    </row>
    <row r="48" spans="1:22" ht="15" x14ac:dyDescent="0.25">
      <c r="A48" s="105"/>
      <c r="B48" s="106"/>
      <c r="C48" s="105"/>
      <c r="D48" s="107"/>
      <c r="F48" s="105"/>
      <c r="K48" s="106"/>
      <c r="M48" s="108"/>
      <c r="N48" s="106"/>
      <c r="Q48" s="10"/>
      <c r="R48" s="10"/>
      <c r="S48" s="2"/>
      <c r="T48" s="8"/>
      <c r="U48" s="8"/>
    </row>
    <row r="49" spans="1:21" ht="15" x14ac:dyDescent="0.25">
      <c r="A49" s="105"/>
      <c r="B49" s="106"/>
      <c r="C49" s="105"/>
      <c r="D49" s="107"/>
      <c r="F49" s="105"/>
      <c r="K49" s="106"/>
      <c r="M49" s="108"/>
      <c r="N49" s="106"/>
      <c r="Q49" s="10"/>
      <c r="R49" s="10"/>
      <c r="S49" s="2"/>
      <c r="T49" s="8"/>
      <c r="U49" s="8"/>
    </row>
    <row r="50" spans="1:21" ht="15" x14ac:dyDescent="0.25">
      <c r="A50" s="105"/>
      <c r="B50" s="106"/>
      <c r="C50" s="105"/>
      <c r="D50" s="107"/>
      <c r="F50" s="105"/>
      <c r="K50" s="106"/>
      <c r="M50" s="108"/>
      <c r="N50" s="106"/>
      <c r="Q50" s="10"/>
      <c r="R50" s="10"/>
      <c r="S50" s="2"/>
      <c r="T50" s="8"/>
      <c r="U50" s="8"/>
    </row>
    <row r="51" spans="1:21" ht="15" x14ac:dyDescent="0.25">
      <c r="A51" s="105"/>
      <c r="B51" s="106"/>
      <c r="C51" s="105"/>
      <c r="D51" s="107"/>
      <c r="F51" s="105"/>
      <c r="K51" s="106"/>
      <c r="M51" s="108"/>
      <c r="N51" s="106"/>
      <c r="Q51" s="10"/>
      <c r="R51" s="10"/>
      <c r="S51" s="2"/>
      <c r="T51" s="8"/>
      <c r="U51" s="8"/>
    </row>
    <row r="52" spans="1:21" ht="15" x14ac:dyDescent="0.25">
      <c r="A52" s="105"/>
      <c r="B52" s="106"/>
      <c r="C52" s="105"/>
      <c r="D52" s="107"/>
      <c r="F52" s="105"/>
      <c r="K52" s="106"/>
      <c r="M52" s="108"/>
      <c r="N52" s="106"/>
      <c r="Q52" s="10"/>
      <c r="R52" s="10"/>
      <c r="S52" s="2"/>
      <c r="T52" s="8"/>
      <c r="U52" s="8"/>
    </row>
    <row r="53" spans="1:21" ht="15" x14ac:dyDescent="0.25">
      <c r="A53" s="105"/>
      <c r="B53" s="106"/>
      <c r="C53" s="105"/>
      <c r="D53" s="107"/>
      <c r="F53" s="105"/>
      <c r="K53" s="106"/>
      <c r="M53" s="108"/>
      <c r="N53" s="106"/>
      <c r="Q53" s="10"/>
      <c r="R53" s="10"/>
      <c r="S53" s="2"/>
      <c r="T53" s="8"/>
      <c r="U53" s="8"/>
    </row>
    <row r="54" spans="1:21" ht="15" x14ac:dyDescent="0.25">
      <c r="A54" s="105"/>
      <c r="B54" s="106"/>
      <c r="C54" s="105"/>
      <c r="D54" s="107"/>
      <c r="F54" s="105"/>
      <c r="K54" s="106"/>
      <c r="M54" s="108"/>
      <c r="N54" s="106"/>
      <c r="Q54" s="10"/>
      <c r="R54" s="10"/>
      <c r="S54" s="2"/>
      <c r="T54" s="8"/>
      <c r="U54" s="8"/>
    </row>
    <row r="55" spans="1:21" ht="15" x14ac:dyDescent="0.25">
      <c r="A55" s="105"/>
      <c r="B55" s="106"/>
      <c r="C55" s="105"/>
      <c r="D55" s="107"/>
      <c r="F55" s="105"/>
      <c r="K55" s="106"/>
      <c r="M55" s="108"/>
      <c r="N55" s="106"/>
      <c r="Q55" s="10"/>
      <c r="R55" s="10"/>
      <c r="S55" s="2"/>
      <c r="T55" s="8"/>
      <c r="U55" s="8"/>
    </row>
    <row r="56" spans="1:21" ht="15" x14ac:dyDescent="0.25">
      <c r="A56" s="105"/>
      <c r="B56" s="106"/>
      <c r="C56" s="105"/>
      <c r="D56" s="107"/>
      <c r="F56" s="105"/>
      <c r="K56" s="106"/>
      <c r="M56" s="108"/>
      <c r="N56" s="106"/>
      <c r="Q56" s="10"/>
      <c r="R56" s="10"/>
      <c r="S56" s="2"/>
      <c r="T56" s="8"/>
      <c r="U56" s="8"/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3AA200D7FF4343BAE68149A4FD2589" ma:contentTypeVersion="13" ma:contentTypeDescription="Crear nuevo documento." ma:contentTypeScope="" ma:versionID="ab2689466d08c687bebe30780a4ef38a">
  <xsd:schema xmlns:xsd="http://www.w3.org/2001/XMLSchema" xmlns:xs="http://www.w3.org/2001/XMLSchema" xmlns:p="http://schemas.microsoft.com/office/2006/metadata/properties" xmlns:ns2="185de1a0-6006-4e01-b1b0-4174e4275ed4" xmlns:ns3="ede30374-eb3a-4070-bcb9-d807f7df5720" targetNamespace="http://schemas.microsoft.com/office/2006/metadata/properties" ma:root="true" ma:fieldsID="ed29cc44156d78cde757937d0642e08c" ns2:_="" ns3:_="">
    <xsd:import namespace="185de1a0-6006-4e01-b1b0-4174e4275ed4"/>
    <xsd:import namespace="ede30374-eb3a-4070-bcb9-d807f7df57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de1a0-6006-4e01-b1b0-4174e4275e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0da7361-d357-47e7-8763-847f2a4569a6}" ma:internalName="TaxCatchAll" ma:showField="CatchAllData" ma:web="185de1a0-6006-4e01-b1b0-4174e4275e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30374-eb3a-4070-bcb9-d807f7df5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a7514d57-8e70-43ac-b127-ec32266e7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820D2-FE39-4714-A74C-38D8A59BAAE9}"/>
</file>

<file path=customXml/itemProps2.xml><?xml version="1.0" encoding="utf-8"?>
<ds:datastoreItem xmlns:ds="http://schemas.openxmlformats.org/officeDocument/2006/customXml" ds:itemID="{02F2604E-DC36-493E-93E5-CC07E461F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INFORME</vt:lpstr>
      <vt:lpstr>detalle1</vt:lpstr>
      <vt:lpstr>detalle2</vt:lpstr>
      <vt:lpstr>detalle32</vt:lpstr>
      <vt:lpstr>detalle1!Inprimatzeko_area</vt:lpstr>
      <vt:lpstr>detalle2!Inprimatzeko_area</vt:lpstr>
      <vt:lpstr>detalle32!Inprimatzeko_area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Ruiz</dc:creator>
  <cp:lastModifiedBy>Natalia Ruiz</cp:lastModifiedBy>
  <cp:lastPrinted>2014-12-11T08:00:00Z</cp:lastPrinted>
  <dcterms:created xsi:type="dcterms:W3CDTF">2013-12-21T08:23:27Z</dcterms:created>
  <dcterms:modified xsi:type="dcterms:W3CDTF">2023-10-05T05:48:28Z</dcterms:modified>
</cp:coreProperties>
</file>